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9230" windowHeight="7050"/>
  </bookViews>
  <sheets>
    <sheet name="Přehled RMK a závazků" sheetId="1" r:id="rId1"/>
  </sheets>
  <definedNames>
    <definedName name="_xlnm._FilterDatabase" localSheetId="0" hidden="1">'Přehled RMK a závazků'!$A$112:$Y$133</definedName>
    <definedName name="_xlnm.Print_Titles" localSheetId="0">'Přehled RMK a závazků'!$3:$6</definedName>
    <definedName name="_xlnm.Print_Area" localSheetId="0">'Přehled RMK a závazků'!$A$1:$N$147</definedName>
    <definedName name="Z_823FBF4D_F534_4D2F_BA65_6798D330A384_.wvu.Cols" localSheetId="0" hidden="1">'Přehled RMK a závazků'!$B:$C</definedName>
    <definedName name="Z_823FBF4D_F534_4D2F_BA65_6798D330A384_.wvu.FilterData" localSheetId="0" hidden="1">'Přehled RMK a závazků'!$A$112:$Y$145</definedName>
    <definedName name="Z_823FBF4D_F534_4D2F_BA65_6798D330A384_.wvu.PrintArea" localSheetId="0" hidden="1">'Přehled RMK a závazků'!$A:$N</definedName>
    <definedName name="Z_823FBF4D_F534_4D2F_BA65_6798D330A384_.wvu.PrintTitles" localSheetId="0" hidden="1">'Přehled RMK a závazků'!$A:$A,'Přehled RMK a závazků'!$3:$6</definedName>
    <definedName name="Z_823FBF4D_F534_4D2F_BA65_6798D330A384_.wvu.Rows" localSheetId="0" hidden="1">'Přehled RMK a závazků'!$30:$30</definedName>
    <definedName name="Z_85224DBB_F537_4833_B955_8E5DC2BA7C74_.wvu.Cols" localSheetId="0" hidden="1">'Přehled RMK a závazků'!$B:$C</definedName>
    <definedName name="Z_85224DBB_F537_4833_B955_8E5DC2BA7C74_.wvu.FilterData" localSheetId="0" hidden="1">'Přehled RMK a závazků'!$A$112:$Y$133</definedName>
    <definedName name="Z_85224DBB_F537_4833_B955_8E5DC2BA7C74_.wvu.PrintArea" localSheetId="0" hidden="1">'Přehled RMK a závazků'!$A$1:$N$147</definedName>
    <definedName name="Z_85224DBB_F537_4833_B955_8E5DC2BA7C74_.wvu.PrintTitles" localSheetId="0" hidden="1">'Přehled RMK a závazků'!$3:$6</definedName>
    <definedName name="Z_85224DBB_F537_4833_B955_8E5DC2BA7C74_.wvu.Rows" localSheetId="0" hidden="1">'Přehled RMK a závazků'!$30:$30</definedName>
    <definedName name="Z_891ECA22_A5C6_47DB_BD95_B0BDF265796A_.wvu.Cols" localSheetId="0" hidden="1">'Přehled RMK a závazků'!$B:$C</definedName>
    <definedName name="Z_891ECA22_A5C6_47DB_BD95_B0BDF265796A_.wvu.FilterData" localSheetId="0" hidden="1">'Přehled RMK a závazků'!$A$112:$Y$145</definedName>
    <definedName name="Z_891ECA22_A5C6_47DB_BD95_B0BDF265796A_.wvu.PrintArea" localSheetId="0" hidden="1">'Přehled RMK a závazků'!$A:$N</definedName>
    <definedName name="Z_891ECA22_A5C6_47DB_BD95_B0BDF265796A_.wvu.PrintTitles" localSheetId="0" hidden="1">'Přehled RMK a závazků'!$A:$A,'Přehled RMK a závazků'!$3:$6</definedName>
    <definedName name="Z_891ECA22_A5C6_47DB_BD95_B0BDF265796A_.wvu.Rows" localSheetId="0" hidden="1">'Přehled RMK a závazků'!$30:$30</definedName>
    <definedName name="Z_EBE613F2_32CB_4E3D_B0BB_2E9DFB67D43D_.wvu.Cols" localSheetId="0" hidden="1">'Přehled RMK a závazků'!#REF!,'Přehled RMK a závazků'!#REF!</definedName>
    <definedName name="Z_EBE613F2_32CB_4E3D_B0BB_2E9DFB67D43D_.wvu.PrintArea" localSheetId="0" hidden="1">'Přehled RMK a závazků'!$A$3:$N$147</definedName>
    <definedName name="Z_EBE613F2_32CB_4E3D_B0BB_2E9DFB67D43D_.wvu.PrintTitles" localSheetId="0" hidden="1">'Přehled RMK a závazků'!$3:$5</definedName>
  </definedNames>
  <calcPr calcId="144525"/>
  <customWorkbookViews>
    <customWorkbookView name="Slívová Galina – osobní zobrazení" guid="{85224DBB-F537-4833-B955-8E5DC2BA7C74}" mergeInterval="0" personalView="1" maximized="1" windowWidth="1276" windowHeight="795" activeSheetId="1"/>
    <customWorkbookView name="slivova2345 - vlastní pohled" guid="{823FBF4D-F534-4D2F-BA65-6798D330A384}" mergeInterval="0" personalView="1" maximized="1" windowWidth="1276" windowHeight="832" activeSheetId="1"/>
    <customWorkbookView name="skaunicova - vlastní pohled" guid="{891ECA22-A5C6-47DB-BD95-B0BDF265796A}" mergeInterval="0" personalView="1" maximized="1" windowWidth="1276" windowHeight="835" activeSheetId="1"/>
  </customWorkbookViews>
</workbook>
</file>

<file path=xl/calcChain.xml><?xml version="1.0" encoding="utf-8"?>
<calcChain xmlns="http://schemas.openxmlformats.org/spreadsheetml/2006/main">
  <c r="D113" i="1" l="1"/>
  <c r="D110" i="1"/>
  <c r="D60" i="1" l="1"/>
  <c r="D120" i="1"/>
  <c r="D121" i="1"/>
  <c r="D122" i="1"/>
  <c r="D132" i="1"/>
  <c r="D131" i="1"/>
  <c r="D130" i="1"/>
  <c r="D129" i="1"/>
  <c r="D128" i="1"/>
  <c r="D127" i="1"/>
  <c r="D126" i="1"/>
  <c r="D125" i="1"/>
  <c r="D124" i="1"/>
  <c r="D123" i="1"/>
  <c r="D119" i="1"/>
  <c r="D118" i="1"/>
  <c r="D117" i="1"/>
  <c r="D116" i="1"/>
  <c r="D115" i="1"/>
  <c r="D133" i="1" s="1"/>
  <c r="D114" i="1"/>
  <c r="D111" i="1"/>
  <c r="K108" i="1"/>
  <c r="L108" i="1"/>
  <c r="M108" i="1"/>
  <c r="J108" i="1"/>
  <c r="D46" i="1"/>
  <c r="D45" i="1"/>
  <c r="D44" i="1"/>
  <c r="D43" i="1"/>
  <c r="D42" i="1"/>
  <c r="D41" i="1"/>
  <c r="D40" i="1"/>
  <c r="D39" i="1"/>
  <c r="D38" i="1"/>
  <c r="D37" i="1"/>
  <c r="D36" i="1"/>
  <c r="D35" i="1"/>
  <c r="H47" i="1"/>
  <c r="G47" i="1"/>
  <c r="I47" i="1" s="1"/>
  <c r="F47" i="1"/>
  <c r="E47" i="1"/>
  <c r="D28" i="1"/>
  <c r="D27" i="1"/>
  <c r="D26" i="1"/>
  <c r="D25" i="1"/>
  <c r="D24" i="1"/>
  <c r="D23" i="1"/>
  <c r="D16" i="1"/>
  <c r="D15" i="1"/>
  <c r="D14" i="1"/>
  <c r="D13" i="1"/>
  <c r="D12" i="1"/>
  <c r="D11" i="1"/>
  <c r="D17" i="1" s="1"/>
  <c r="D20" i="1"/>
  <c r="D19" i="1"/>
  <c r="K21" i="1"/>
  <c r="L21" i="1"/>
  <c r="M21" i="1"/>
  <c r="D21" i="1"/>
  <c r="D47" i="1" l="1"/>
  <c r="D29" i="1"/>
  <c r="D105" i="1"/>
  <c r="D101" i="1"/>
  <c r="I106" i="1"/>
  <c r="I105" i="1"/>
  <c r="I104" i="1"/>
  <c r="I103" i="1"/>
  <c r="I102" i="1"/>
  <c r="I101" i="1"/>
  <c r="D102" i="1"/>
  <c r="D103" i="1"/>
  <c r="D104" i="1"/>
  <c r="D106" i="1"/>
  <c r="M47" i="1" l="1"/>
  <c r="L47" i="1"/>
  <c r="K47" i="1"/>
  <c r="J47" i="1"/>
  <c r="J21" i="1"/>
  <c r="F21" i="1"/>
  <c r="E21" i="1"/>
  <c r="H21" i="1"/>
  <c r="G21" i="1"/>
  <c r="I20" i="1"/>
  <c r="D96" i="1"/>
  <c r="D97" i="1"/>
  <c r="D98" i="1"/>
  <c r="D99" i="1"/>
  <c r="D100" i="1"/>
  <c r="I100" i="1"/>
  <c r="I99" i="1"/>
  <c r="I98" i="1"/>
  <c r="I97" i="1"/>
  <c r="I96" i="1"/>
  <c r="I21" i="1" l="1"/>
  <c r="F28" i="1"/>
  <c r="F23" i="1"/>
  <c r="D93" i="1" l="1"/>
  <c r="D94" i="1"/>
  <c r="D95" i="1"/>
  <c r="D107" i="1"/>
  <c r="I93" i="1"/>
  <c r="I94" i="1"/>
  <c r="I95" i="1"/>
  <c r="I107" i="1"/>
  <c r="H108" i="1"/>
  <c r="F108" i="1"/>
  <c r="I130" i="1"/>
  <c r="I131" i="1"/>
  <c r="I132" i="1"/>
  <c r="K133" i="1"/>
  <c r="L133" i="1"/>
  <c r="M133" i="1"/>
  <c r="J133" i="1"/>
  <c r="F133" i="1"/>
  <c r="G133" i="1"/>
  <c r="H133" i="1"/>
  <c r="I91" i="1"/>
  <c r="D91" i="1"/>
  <c r="D90" i="1"/>
  <c r="I90" i="1"/>
  <c r="D89" i="1"/>
  <c r="I89" i="1"/>
  <c r="I88" i="1"/>
  <c r="D88" i="1"/>
  <c r="I87" i="1"/>
  <c r="D87" i="1"/>
  <c r="I84" i="1"/>
  <c r="I85" i="1"/>
  <c r="D84" i="1"/>
  <c r="D85" i="1"/>
  <c r="D82" i="1"/>
  <c r="D83" i="1"/>
  <c r="I82" i="1"/>
  <c r="I83" i="1"/>
  <c r="I77" i="1"/>
  <c r="I78" i="1"/>
  <c r="I79" i="1"/>
  <c r="I80" i="1"/>
  <c r="I81" i="1"/>
  <c r="I86" i="1"/>
  <c r="I92" i="1"/>
  <c r="D80" i="1"/>
  <c r="D81" i="1"/>
  <c r="D86" i="1"/>
  <c r="D77" i="1"/>
  <c r="D78" i="1"/>
  <c r="D79" i="1"/>
  <c r="D92" i="1"/>
  <c r="I46" i="1"/>
  <c r="I27" i="1"/>
  <c r="I26" i="1"/>
  <c r="G62" i="1"/>
  <c r="G108" i="1" s="1"/>
  <c r="I58" i="1"/>
  <c r="D58" i="1"/>
  <c r="I114" i="1"/>
  <c r="I76" i="1"/>
  <c r="I75" i="1"/>
  <c r="D75" i="1"/>
  <c r="D76" i="1"/>
  <c r="D144" i="1"/>
  <c r="D143" i="1"/>
  <c r="D142" i="1"/>
  <c r="D141" i="1"/>
  <c r="D140" i="1"/>
  <c r="D139" i="1"/>
  <c r="D138" i="1"/>
  <c r="E136" i="1"/>
  <c r="F136" i="1"/>
  <c r="G136" i="1"/>
  <c r="H136" i="1"/>
  <c r="D135" i="1"/>
  <c r="D136" i="1" s="1"/>
  <c r="D74" i="1"/>
  <c r="D73" i="1"/>
  <c r="D72" i="1"/>
  <c r="D71" i="1"/>
  <c r="D70" i="1"/>
  <c r="D69" i="1"/>
  <c r="D68" i="1"/>
  <c r="D67" i="1"/>
  <c r="D66" i="1"/>
  <c r="D65" i="1"/>
  <c r="D64" i="1"/>
  <c r="D63" i="1"/>
  <c r="D61" i="1"/>
  <c r="D57" i="1"/>
  <c r="D56" i="1"/>
  <c r="D55" i="1"/>
  <c r="D54" i="1"/>
  <c r="D53" i="1"/>
  <c r="D52" i="1"/>
  <c r="D51" i="1"/>
  <c r="D50" i="1"/>
  <c r="D8" i="1"/>
  <c r="I124" i="1"/>
  <c r="I125" i="1"/>
  <c r="I126" i="1"/>
  <c r="I127" i="1"/>
  <c r="I128" i="1"/>
  <c r="I129" i="1"/>
  <c r="I113" i="1"/>
  <c r="E113" i="1"/>
  <c r="E133" i="1" s="1"/>
  <c r="E110" i="1"/>
  <c r="E111" i="1" s="1"/>
  <c r="M111" i="1"/>
  <c r="L111" i="1"/>
  <c r="K111" i="1"/>
  <c r="J111" i="1"/>
  <c r="H111" i="1"/>
  <c r="I111" i="1" s="1"/>
  <c r="G111" i="1"/>
  <c r="F111" i="1"/>
  <c r="I110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D59" i="1"/>
  <c r="I50" i="1"/>
  <c r="E49" i="1"/>
  <c r="D49" i="1" s="1"/>
  <c r="I44" i="1"/>
  <c r="I43" i="1"/>
  <c r="I42" i="1"/>
  <c r="I41" i="1"/>
  <c r="I40" i="1"/>
  <c r="I39" i="1"/>
  <c r="E35" i="1"/>
  <c r="M33" i="1"/>
  <c r="L33" i="1"/>
  <c r="K33" i="1"/>
  <c r="J33" i="1"/>
  <c r="H33" i="1"/>
  <c r="I33" i="1" s="1"/>
  <c r="G33" i="1"/>
  <c r="F33" i="1"/>
  <c r="E33" i="1"/>
  <c r="I32" i="1"/>
  <c r="D32" i="1"/>
  <c r="D33" i="1" s="1"/>
  <c r="E23" i="1"/>
  <c r="E13" i="1"/>
  <c r="I59" i="1"/>
  <c r="I74" i="1"/>
  <c r="I38" i="1"/>
  <c r="I45" i="1"/>
  <c r="E9" i="1"/>
  <c r="F9" i="1"/>
  <c r="G9" i="1"/>
  <c r="J9" i="1"/>
  <c r="K9" i="1"/>
  <c r="L9" i="1"/>
  <c r="M9" i="1"/>
  <c r="M17" i="1"/>
  <c r="L17" i="1"/>
  <c r="K17" i="1"/>
  <c r="J17" i="1"/>
  <c r="F17" i="1"/>
  <c r="E145" i="1"/>
  <c r="M29" i="1"/>
  <c r="M145" i="1"/>
  <c r="M136" i="1"/>
  <c r="L29" i="1"/>
  <c r="L145" i="1"/>
  <c r="L136" i="1"/>
  <c r="K29" i="1"/>
  <c r="K145" i="1"/>
  <c r="K136" i="1"/>
  <c r="J29" i="1"/>
  <c r="J145" i="1"/>
  <c r="J136" i="1"/>
  <c r="H9" i="1"/>
  <c r="H17" i="1"/>
  <c r="I17" i="1" s="1"/>
  <c r="H29" i="1"/>
  <c r="H145" i="1"/>
  <c r="I145" i="1" s="1"/>
  <c r="G17" i="1"/>
  <c r="G29" i="1"/>
  <c r="G145" i="1"/>
  <c r="F29" i="1"/>
  <c r="F145" i="1"/>
  <c r="I8" i="1"/>
  <c r="I11" i="1"/>
  <c r="I12" i="1"/>
  <c r="I13" i="1"/>
  <c r="I14" i="1"/>
  <c r="I15" i="1"/>
  <c r="I16" i="1"/>
  <c r="I19" i="1"/>
  <c r="I23" i="1"/>
  <c r="I24" i="1"/>
  <c r="I25" i="1"/>
  <c r="I28" i="1"/>
  <c r="I35" i="1"/>
  <c r="I36" i="1"/>
  <c r="I37" i="1"/>
  <c r="I49" i="1"/>
  <c r="I51" i="1"/>
  <c r="I52" i="1"/>
  <c r="I53" i="1"/>
  <c r="I54" i="1"/>
  <c r="I55" i="1"/>
  <c r="I56" i="1"/>
  <c r="I57" i="1"/>
  <c r="I115" i="1"/>
  <c r="I116" i="1"/>
  <c r="I117" i="1"/>
  <c r="I118" i="1"/>
  <c r="I119" i="1"/>
  <c r="I120" i="1"/>
  <c r="I121" i="1"/>
  <c r="I122" i="1"/>
  <c r="I123" i="1"/>
  <c r="I135" i="1"/>
  <c r="I138" i="1"/>
  <c r="I139" i="1"/>
  <c r="I140" i="1"/>
  <c r="I141" i="1"/>
  <c r="I142" i="1"/>
  <c r="I143" i="1"/>
  <c r="I144" i="1"/>
  <c r="E17" i="1"/>
  <c r="E29" i="1"/>
  <c r="I9" i="1"/>
  <c r="K147" i="1"/>
  <c r="L147" i="1"/>
  <c r="I29" i="1" l="1"/>
  <c r="I136" i="1"/>
  <c r="D145" i="1"/>
  <c r="I133" i="1"/>
  <c r="D9" i="1"/>
  <c r="I108" i="1"/>
  <c r="E108" i="1"/>
  <c r="E147" i="1" s="1"/>
  <c r="M147" i="1"/>
  <c r="J147" i="1"/>
  <c r="F147" i="1"/>
  <c r="H147" i="1"/>
  <c r="G147" i="1"/>
  <c r="D62" i="1"/>
  <c r="D108" i="1" s="1"/>
  <c r="D147" i="1" s="1"/>
  <c r="I147" i="1" l="1"/>
</calcChain>
</file>

<file path=xl/sharedStrings.xml><?xml version="1.0" encoding="utf-8"?>
<sst xmlns="http://schemas.openxmlformats.org/spreadsheetml/2006/main" count="263" uniqueCount="165">
  <si>
    <t>Rekonstrukce výtahů - pracoviště Orlová (Nemocnice s poliklinikou Karviná-Ráj, příspěvková organizace)</t>
  </si>
  <si>
    <t>Optimalizace logistiky ve zdravotnických zařízeních Moravskoslezského kraje</t>
  </si>
  <si>
    <t>Rekonstrukce budovy krajského úřadu - Parkoviště u budov krajského úřadu</t>
  </si>
  <si>
    <t>Rekonstrukce mostů 480-001 a 480-002 včetně ramp, Kopřivnice (Správa silnic Moravskoslezského kraje, příspěvková organizace, Ostrava)</t>
  </si>
  <si>
    <t>Letiště Leoše Janáčka Ostrava, bezpečnostní centrum - l. etapa</t>
  </si>
  <si>
    <t>Zámek Bruntál - oprava fasád a střech v nádvoří zámku (Muzeum v Bruntále, příspěvková organizace)</t>
  </si>
  <si>
    <t>Dopravní prostředky</t>
  </si>
  <si>
    <t>CELKEM</t>
  </si>
  <si>
    <t>Nákup pozemků v areálu Letiště Ostrava, a.s.</t>
  </si>
  <si>
    <t>ROZPOČET</t>
  </si>
  <si>
    <t>SKUTEČNOST</t>
  </si>
  <si>
    <t>% PLNĚNÍ</t>
  </si>
  <si>
    <t>ORJ</t>
  </si>
  <si>
    <t>Vybavení Iktového centra (Nemocnice Třinec, příspěvková organizace)</t>
  </si>
  <si>
    <t>VÝDAJE NA AKCI CELKEM</t>
  </si>
  <si>
    <t>VÝDAJE V PŘEDCHOZÍCH LETECH</t>
  </si>
  <si>
    <t>Těšínské divadlo - Malá scéna (Těšínské divadlo Český Těšín, příspěvková organizace)</t>
  </si>
  <si>
    <t>ORG</t>
  </si>
  <si>
    <t>Název akce</t>
  </si>
  <si>
    <t>Poznámka</t>
  </si>
  <si>
    <t>Protihluková opatření na silnicích II. a III. tříd (Správa silnic Moravskoslezského kraje, příspěvková organizace)</t>
  </si>
  <si>
    <t>Výpočetní technika</t>
  </si>
  <si>
    <t>Nákup dlouhodobého nehmotného majetku</t>
  </si>
  <si>
    <t>Programové vybavení</t>
  </si>
  <si>
    <t>Budovy, haly a stavby</t>
  </si>
  <si>
    <t>Stroje, přístroje a zařízení</t>
  </si>
  <si>
    <t xml:space="preserve">Technické zhodnocení budovy. </t>
  </si>
  <si>
    <t>Integrované bezpečnostní centrum Moravskoslezského kraje - dovybavení</t>
  </si>
  <si>
    <t>Přístavba Domu umění – Galerie 21. století (Galerie výtvarného umění v Ostravě, příspěvková organizace, Ostrava)</t>
  </si>
  <si>
    <t>Tělocvična Gymnázia Český Těšín (Gymnázium, Český Těšín, příspěvková organizace)</t>
  </si>
  <si>
    <t>ODVĚTVÍ DOPRAVY CELKEM</t>
  </si>
  <si>
    <t>ODVĚTVÍ KRIZOVÉ CELKEM</t>
  </si>
  <si>
    <t>ODVĚTVÍ KULTURY CELKEM</t>
  </si>
  <si>
    <t>ODVĚTVÍ SOCIÁLNÍCH VĚCÍ CELKEM</t>
  </si>
  <si>
    <t>ODVĚTVÍ ŠKOLSTVÍ CELKEM</t>
  </si>
  <si>
    <t>ODVĚTVÍ ZDRAVOTNICTVÍ CELKEM</t>
  </si>
  <si>
    <t>VLASTNÍ SPRÁVNÍ ČINNOST KRAJE A ČINNOST ZASTUPITELSTVA KRAJE CELKEM</t>
  </si>
  <si>
    <t xml:space="preserve"> - </t>
  </si>
  <si>
    <t>2015</t>
  </si>
  <si>
    <t xml:space="preserve">PLÁN. VÝDAJE V LETECH </t>
  </si>
  <si>
    <t>Výměna střešní krytiny a hromosvodů (Dětský domov a Školní jídelna, Čeladná 87, příspěvková organizace)</t>
  </si>
  <si>
    <t>Nemocnice s poliklinikou v Novém Jičíně - reinvestiční část nájemného a opravy</t>
  </si>
  <si>
    <t xml:space="preserve">Jedná se o opakující se akci. Objem ročního rozpočtu je stanoven v závislosti na možnosti rozpočtu daného roku. </t>
  </si>
  <si>
    <t>2016</t>
  </si>
  <si>
    <t>Realizace energetických úspor metodou EPC ve vybraných objektech Moravskoslezského kraje</t>
  </si>
  <si>
    <t>Sanace střech (Náš svět, příspěvková organizace, Pržno)</t>
  </si>
  <si>
    <t>Humanizace zařízení - 1. a 2. etapa pavilonu A (Nový domov, příspěvková organizace, Karviná)</t>
  </si>
  <si>
    <t>Rekonstrukce zdravotechniky (Gymnázium, Ostrava-Hrabůvka, příspěvková organizace)</t>
  </si>
  <si>
    <t>Rekonstrukce elektroinstalace objektů školy (Masarykova střední škola zemědělská a Vyšší odborná škola, Opava, příspěvková organizace)</t>
  </si>
  <si>
    <t>Výměna výplní otvorů, zateplení střechy a obvodového pláště (Střední škola, Základní škola a Mateřská škola, Frýdek-Místek, příspěvková organizace)</t>
  </si>
  <si>
    <t>Rekonstrukce střechy spojovacího koridoru (Střední zdravotnická škola a Vyšší odborná škola zdravotnická, Ostrava, příspěvková organizace)</t>
  </si>
  <si>
    <t>Rekonstrukce rozvodny vysokého napětí Karviná (Nemocnice s poliklinikou Karviná-Ráj, příspěvková organizace)</t>
  </si>
  <si>
    <t>Rekonstrukce výtahů (Nemocnice s poliklinikou Havířov, příspěvková organizace)</t>
  </si>
  <si>
    <t>Úpravy rozvodů mediplynů  Karviná (Nemocnice s poliklinikou Karviná-Ráj, příspěvková organizace)</t>
  </si>
  <si>
    <t>Elektronická preskripce ve zdravotnických zařízeních (příspěvkové organizace v odvětví zdravotnictví)</t>
  </si>
  <si>
    <t>Sanace zdiva budovy patologie (Nemocnice s poliklinikou Havířov, příspěvková organizace)</t>
  </si>
  <si>
    <t xml:space="preserve">Rozdíl do výše celkových výdajů na akci bude dokryt z vlastních zdrojů příspěvkové organizace. </t>
  </si>
  <si>
    <t xml:space="preserve">Projektovou dokumentaci zajistila a uhradila příspěvková organizace ve výši 180 tis. Kč. </t>
  </si>
  <si>
    <t>Rozdíl do výše celkových výdajů na akci bude dokryt z vlastních zdrojů příspěvkové organizace.</t>
  </si>
  <si>
    <t>Souvislé opravy silnic II. a III. tříd (Správa silnic Moravskoslezského kraje, příspěvková organizace)</t>
  </si>
  <si>
    <t>Rekonstrukce rozvodů elektroinstalace (Hotelová škola, Frenštát pod Radhoštěm, příspěvková organizace)</t>
  </si>
  <si>
    <t>ODVĚTVÍ CESTOVNÍHO RUCHU CELKEM</t>
  </si>
  <si>
    <t>SingleTrails Bílá</t>
  </si>
  <si>
    <t>ODVĚTVÍ FINANCE A SPRÁVA MAJETKU CELKEM</t>
  </si>
  <si>
    <t xml:space="preserve">Na základě uzavřené smlouvy o nájmu podniku vznikl kraji závazek reinvestovat část nájemného zpět do pořízení movitého majetku a do pronajatého nemovitého majetku. Jedná o závazek od roku 2013 do roku 2032. </t>
  </si>
  <si>
    <t>Přehled akcí reprodukce majetku kraje včetně ISPROFIN v roce 2014 (v tis. Kč)</t>
  </si>
  <si>
    <t>2017</t>
  </si>
  <si>
    <t>po r. 2017</t>
  </si>
  <si>
    <t>2013</t>
  </si>
  <si>
    <t>před r. 2013</t>
  </si>
  <si>
    <t>x</t>
  </si>
  <si>
    <t>Akční plán snižování hluku pro okolí hlavních pozemních komunikací</t>
  </si>
  <si>
    <t xml:space="preserve">Rozdíl do výše celkových výdajů na akci bude dokryt z vlastních zdrojů příspěvkové organizace. Jedná se o úhradu autorského dozoru, který bude uhrazen až po dokončení stavby. </t>
  </si>
  <si>
    <t>Program rozvoje muzejnictví v Moravskoslezském kraji - příspěvkové organizace MSK</t>
  </si>
  <si>
    <t>ODVĚTVÍ REGIONÁLNÍHO ROZVOJE CELKEM</t>
  </si>
  <si>
    <t>Prezentace investičního potenciálu kraje, rozvoj investičních příležitostí, brownfields a projektů průmyslových zón</t>
  </si>
  <si>
    <t>Rekonstrukce objektu Domov Vítkov (Domov Vítkov, příspěvková organizace, Vítkov)</t>
  </si>
  <si>
    <t>Nákup bytu ve Vítkově (Domov Vítkov, příspěvková organizace)</t>
  </si>
  <si>
    <t>Vybudování evakuačního výtahu domova pro seniory Šunychelská (Domov Jistoty, příspěvková organizace, Bohumín)</t>
  </si>
  <si>
    <t>Vybudování konferenčních prostor (Domov Odry, příspěvková organizace)</t>
  </si>
  <si>
    <t>Zateplení budovy č.p. 410 (Domov Odry, příspěvková organizace)</t>
  </si>
  <si>
    <t>Rekonstrukce kotelny – výměna kotlů (Zámek Dolní Životice, příspěvková organizace, Dolní Životice)</t>
  </si>
  <si>
    <t>Oprava západní fasády, včetně výměny oken a zpevnění odpočinkové plochy (Domov Na zámku, příspěvková organizace, Kyjovice)</t>
  </si>
  <si>
    <t>Výměna stávajícího výtahu za výtah evakuační (Domov Vítkov, příspěvková organizace)</t>
  </si>
  <si>
    <t>Stavební úpravy a modernizace prádelny (Domov Duha, příspěvková organizace, Nový Jičín)</t>
  </si>
  <si>
    <t>Posílení kapacity elektrických rozvodů v souvislosti s rozšířením vybavenosti školy (Střední škola gastronomie a služeb, Frýdek-Místek, tř. T. G. Masaryka 451, příspěvková organizace, Frýdek - Místek)</t>
  </si>
  <si>
    <t>Předpoklad spoluúčasti ze státního rozpočtu.</t>
  </si>
  <si>
    <t>Rekonstrukce elektroinstalace (Střední škola, Havířov-Prostřední Suchá, příspěvková organizace)</t>
  </si>
  <si>
    <t>Odstranění havarijního stavu dešťové kanalizace (Střední škola, Havířov-Šumbark, Sýkorova 1/613, příspěvková organizace)</t>
  </si>
  <si>
    <t>Úpravy krytého bazénu (Střední škola a Základní škola, Havířov-Šumbark, příspěvková organizace)</t>
  </si>
  <si>
    <t>Sanace opěrné zdi (Základní umělecká škola J. A. Komenského, Studénka, příspěvková organizace)</t>
  </si>
  <si>
    <t>Rekonstrukce plynové kotelny (Střední průmyslová škola, Ostrava-Vítkovice, příspěvková organizace)</t>
  </si>
  <si>
    <t>Rekonstrukce elektrických rozvodů a osvětlení (Střední zdravotnická škola, Karviná, příspěvková organizace)</t>
  </si>
  <si>
    <t>Výměna oken (Základní škola a Mateřská škola, Ostrava - Poruba, Ukrajinská 19, příspěvková organizace)</t>
  </si>
  <si>
    <t>Rekonstrukce střechy objektu Husova  (Střední škola, Bohumín, příspěvková organizace)</t>
  </si>
  <si>
    <t>Výměna střešní krytiny (Gymnázium, Karviná, příspěvková organizace)</t>
  </si>
  <si>
    <t>Oprava střechy objektu Žižkova 620 (Základní umělecká škola, Bohumín - Nový Bohumín, Žižkova 620, příspěvková organizace)</t>
  </si>
  <si>
    <t>Výměna oken v budově školy (Gymnázium, Krnov, příspěvková organizace)</t>
  </si>
  <si>
    <t>Oprava střechy budovy školy (Odborné učiliště a Praktická škola, Nový Jičín, příspěvková organizace)</t>
  </si>
  <si>
    <t>Rekonstrukce hydroizolace budovy (Střední průmyslová škola elektrotechnická, Havířov, příspěvková organizace)</t>
  </si>
  <si>
    <t>Výměna oken (Základní umělecká škola Leoše Janáčka, Havířov, příspěvková organizace)</t>
  </si>
  <si>
    <t>Rekonstrukce rozvodů vody a odpadů (Matiční gymnázium, Ostrava, příspěvková organizace)</t>
  </si>
  <si>
    <t>Rekonstrukce elektrických rozvodů v hlavní budově (Střední škola společného stravování, Ostrava - Hrabůvka, příspěvková organizace)</t>
  </si>
  <si>
    <t>Výměna oken v hlavní budově včetně přístavby (Střední škola technická a zemědělská, Nový Jičín, příspěvková organizace)</t>
  </si>
  <si>
    <t>ODVĚTVÍ ÚZEM. PLÁNOVÁNÍ A STAVEB. ŘÁDU CELKEM</t>
  </si>
  <si>
    <t>Studie k aktualizaci a vyplývající ze Zásad územního rozvoje Moravskoslezského kraje</t>
  </si>
  <si>
    <t>Pavilon chirurgických oborů včetně projektové dokumentace (Nemocnice ve Frýdku-Místku, příspěvková organizace, Frýdek - Místek)</t>
  </si>
  <si>
    <t>Výměna podlahových krytin (Nemocnice s poliklinikou Havířov, příspěvková organizace)</t>
  </si>
  <si>
    <t>Pavilon chirurgických oborů – technická infrastruktura  (Nemocnice ve Frýdku – Místku, příspěvková organizace</t>
  </si>
  <si>
    <t>Rekonstrukce výtahů v blocích C , D , E (Nemocnice ve Frýdku – Místku, příspěvková organizace)</t>
  </si>
  <si>
    <t>Rekonstrukce elektroinstalace (Nemocnice s poliklinikou Karviná - Ráj, příspěvková organizace)</t>
  </si>
  <si>
    <t>Optimalizace laboratorního informačního systému nemocnic zřizovaných Moravskoslezským krajem</t>
  </si>
  <si>
    <t>Pojistné plnění v odvětví zdravotnictví</t>
  </si>
  <si>
    <t xml:space="preserve"> -</t>
  </si>
  <si>
    <t xml:space="preserve">Nákup software vybavení a licencí. </t>
  </si>
  <si>
    <t>Pořízení nové klimatizační jednotky, dataprojektoru.</t>
  </si>
  <si>
    <t>Pořízení osobních vozidel náhradou za stávající vozidla.</t>
  </si>
  <si>
    <t>Nákup HW vybavení - výměna zastarané výpočetní techniky, serverů, datových rozvaděčů a tiskáren.</t>
  </si>
  <si>
    <t>Nákup konvektomatu, děličky těsta a pečící trouby (Základní škola, Ostrava-Poruba, Čkalovova 942, příspěvková organizace)</t>
  </si>
  <si>
    <t>Nákup konvektomatu (Gymnázium Mikuláše Koperníka, Bílovec, příspěvková organizace)</t>
  </si>
  <si>
    <t>Rekonstrukce stravovacího provozu (Sdružené zdravotnické zařízení Krnov, příspěvková organizace)</t>
  </si>
  <si>
    <t>Reprodukce majetku v odvětví školství</t>
  </si>
  <si>
    <t>Stavební úpravy související se stěhováním do budovy na ul. Masarykovy sady č. p. 103 v Českém Těšíně (Muzeum Těšínska, příspěvková organizace)</t>
  </si>
  <si>
    <t>Optimalizace vytápění obřadní síně frýdeckého zámku (Muzeum Beskyd Frýdek-Místek, příspěvková organizace)</t>
  </si>
  <si>
    <t>Vybudování čističky odpadních vod (Domov Na zámku, příspěvková organizace, Kyjovice)</t>
  </si>
  <si>
    <t>Rekonstrukce stropu v objektu dílen (Střední škola elektrotechnická, Ostrava, Na Jízdárně 30, příspěvková organizace)</t>
  </si>
  <si>
    <t>Rekonstrukce střechy a oprava fasády na budově tělocvičny (Gymnázium, Havířov-Město, Komenského 2, příspěvková organizace)</t>
  </si>
  <si>
    <t>Rekonstrukce plynové kotelny (Základní škola, Ostrava-Zábřeh, Kpt. Vajdy 1a, příspěvková organizace)</t>
  </si>
  <si>
    <t>Odstranění havárie a oprava venkovní kanalizace (Gymnázium a Střední průmyslová škola elektrotechniky a informatiky, Frenštát pod Radhoštěm, příspěvková organizace)</t>
  </si>
  <si>
    <t>Výměna střešní krytiny (Základní umělecká škola Leoše Janáčka, Frýdlant nad Ostravicí, příspěvková organizace)</t>
  </si>
  <si>
    <t>Výměna oken - I. etapa (Všeobecné a sportovní gymnázium, Bruntál, příspěvková organizace)</t>
  </si>
  <si>
    <t>Rekonstrukce sociálního zařízení v budově školy - I. etapa (Střední škola automobilní, mechanizace a podnikání, Krnov, příspěvková organizace)</t>
  </si>
  <si>
    <t>Výměna rozvodů vody (Gymnázium a Střední odborná škola, Nový Jičín, příspěvková organizace)</t>
  </si>
  <si>
    <t>Rekonstrukce vytápění (Odborné učiliště a Praktická škola, Hlučín, příspěvková organizace)</t>
  </si>
  <si>
    <t>Rekonstrukce plotu (Gymnázium Františka Živného, Bohumín, Jana Palacha 794, příspěvková organizace)</t>
  </si>
  <si>
    <t>Výměna výplní otvorů (Základní škola, Opava, Dvořákovy sady 4, příspěvková organizace)</t>
  </si>
  <si>
    <t>Výstavba plynové kotelny (Mendelovo gymnázium, Opava, příspěvková organizace)</t>
  </si>
  <si>
    <t>Výměna oken (Mendelova střední škola, Nový Jičín, příspěvková organizace)</t>
  </si>
  <si>
    <t>Vybavení stávajících rozvodů VZT jednotkou (Sportovní gymnázium Dany a Emila Zátopkových, Ostrava, příspěvková organizace)</t>
  </si>
  <si>
    <t>Sanace vlhkého zdiva objektu školy (Střední zdravotnická škola a Vyšší odborná škola zdravotnická, Ostrava, příspěvková organizace)</t>
  </si>
  <si>
    <t>Oprava teras budovy mateřské školky (Mateřská škola logopedická, Ostrava - Poruba, U Školky 1621, příspěvková organizace)</t>
  </si>
  <si>
    <t>Úprava kanalizace areálu Karviná (Nemocnice s poliklinikou Karviná – Ráj, příspěvková organizace)</t>
  </si>
  <si>
    <t>Přístroje pro Beskydské oční centrum (Nemocnice ve Frýdku – Místku, příspěvková organizace)</t>
  </si>
  <si>
    <t>Rekonstrukce plynové kotelny a modernizace rehabilitace (Odborný léčebný ústav Metylovice – Moravskoslezské sanatorium, příspěvková organizace)</t>
  </si>
  <si>
    <t>Stavební úpravy na ul.Polská 1542/8 (Střední škola služeb a podnikání, Ostrava-Poruba, příspěvková organizace)</t>
  </si>
  <si>
    <t>Odvodnění a hydroizolace objektu bazénu(Střední škola prof. Zdeňka Matějčka, Ostrava-Poruba, 17. listopadu 1123, příspěvková organizace)</t>
  </si>
  <si>
    <t>Oprava teplovodu (Základní škola, Ostrava-Poruba, Čkalovova 942, příspěvková organizace)</t>
  </si>
  <si>
    <t xml:space="preserve">Řešení dopadů institucionální a oborové optimalizace sítě škol a školských zařízení </t>
  </si>
  <si>
    <t>Vodovodní přípojka (Střední škola společného stravování, Ostrava-Hrabůvka, příspěvková organizace)</t>
  </si>
  <si>
    <t>Rekonstrukce školní kuchyně (Gymnázium  Olgy Havlové, Ostrava-Poruba, příspěvková organizace)</t>
  </si>
  <si>
    <t>Odstranění havarijního stavu sociálních zařízení (Střední škola, Základní škola a Mateřská škola, Karviná, příspěvková organizace)</t>
  </si>
  <si>
    <t>Kanalizační přípojka (Základní umělecká škola Eduarda Marhuly, Ostrava - Mariánské Hory, Hudební 6, příspěvková organizace)</t>
  </si>
  <si>
    <t>Rekonstrukce oplocení (Mateřská škola logopedická, Ostrava-Poruba, Na Robinsonce 1646, příspěvková organizace)</t>
  </si>
  <si>
    <t xml:space="preserve">Opravy majetku realizované z pojistných náhrad v odvětví krizovém </t>
  </si>
  <si>
    <t>Rekonstrukce podlahy a výměna obložení stěn v budově tělocvičny (Gymnázium, Havířov-Město, Komenského 2, příspěvková organizace)</t>
  </si>
  <si>
    <t>Rekonstrukce oplocení a zídek areálu příspěvkové organizace (Dětský domov a Školní jídelna, Ostrava-Slezská Ostrava, Na Vizině 28, příspěvková organizace)</t>
  </si>
  <si>
    <t>Rekonstrukce odvodnění levého křídla (Dětský domov Loreta a Školní jídelna, Fulnek, příspěvková organizace)</t>
  </si>
  <si>
    <t>Výměna jednotné kanalizace (Odborné učiliště a Praktická škola, Nový Jičín, příspěvková organizace)</t>
  </si>
  <si>
    <t>Oprava páteřního rozvodu vody a ÚT (Střední průmyslová škola a Obchodní akademie, Bruntál, příspěvková organizace)</t>
  </si>
  <si>
    <t>Oprava podlahy třídy (Gymnázium, Český Těšín, příspěvková organizace)</t>
  </si>
  <si>
    <t>Financování akce je schváleno usnesením zastupitelstva kraje č. 23/1964 ze dne 29.2.2012 na období let 2013-2023. Jedná se o celkové náklady na realizaci investičních opatření, včetně úhrady úroků a služeb za energetický management.</t>
  </si>
  <si>
    <t>V v uplynulém období byly realizovány přípravné práce, včetně zpracování projektové dokumentace. Realizace stavební části je plánována v roce 2015.</t>
  </si>
  <si>
    <t xml:space="preserve">Pořízení dat a mapových podkladů od Českého úřadu zeměměřičského a katastrálního. </t>
  </si>
  <si>
    <t>Počet stran přílohy: 4</t>
  </si>
  <si>
    <t>Příloha č. 4 k materiálu č. 4/1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</si>
</sst>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32" x14ac:knownFonts="1">
    <font>
      <sz val="10"/>
      <name val="Arial"/>
      <charset val="238"/>
    </font>
    <font>
      <sz val="10"/>
      <name val="Arial"/>
      <charset val="238"/>
    </font>
    <font>
      <b/>
      <sz val="14"/>
      <name val="Tahoma"/>
      <family val="2"/>
      <charset val="238"/>
    </font>
    <font>
      <sz val="10"/>
      <name val="Tahoma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10"/>
      <name val="Arial CE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i/>
      <sz val="10"/>
      <name val="Tahoma"/>
      <family val="2"/>
      <charset val="238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9"/>
      <color rgb="FFFF0000"/>
      <name val="Tahoma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6" fillId="0" borderId="0"/>
    <xf numFmtId="0" fontId="1" fillId="0" borderId="0"/>
    <xf numFmtId="0" fontId="1" fillId="18" borderId="6" applyNumberFormat="0" applyFont="0" applyAlignment="0" applyProtection="0"/>
    <xf numFmtId="0" fontId="22" fillId="0" borderId="7" applyNumberFormat="0" applyFill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312">
    <xf numFmtId="0" fontId="0" fillId="0" borderId="0" xfId="0"/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5" fillId="0" borderId="12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3" fontId="4" fillId="24" borderId="17" xfId="0" applyNumberFormat="1" applyFont="1" applyFill="1" applyBorder="1" applyAlignment="1">
      <alignment vertical="center"/>
    </xf>
    <xf numFmtId="3" fontId="4" fillId="24" borderId="18" xfId="0" applyNumberFormat="1" applyFont="1" applyFill="1" applyBorder="1" applyAlignment="1">
      <alignment vertical="center"/>
    </xf>
    <xf numFmtId="3" fontId="4" fillId="24" borderId="19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vertical="center"/>
    </xf>
    <xf numFmtId="3" fontId="4" fillId="24" borderId="20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horizontal="right" vertical="center"/>
    </xf>
    <xf numFmtId="0" fontId="8" fillId="0" borderId="0" xfId="0" applyNumberFormat="1" applyFont="1" applyAlignment="1">
      <alignment vertical="center" wrapText="1"/>
    </xf>
    <xf numFmtId="3" fontId="5" fillId="0" borderId="21" xfId="0" applyNumberFormat="1" applyFont="1" applyFill="1" applyBorder="1" applyAlignment="1">
      <alignment vertical="center"/>
    </xf>
    <xf numFmtId="3" fontId="5" fillId="0" borderId="13" xfId="0" applyNumberFormat="1" applyFont="1" applyBorder="1" applyAlignment="1">
      <alignment horizontal="right" vertical="center"/>
    </xf>
    <xf numFmtId="3" fontId="4" fillId="24" borderId="22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 wrapText="1"/>
    </xf>
    <xf numFmtId="3" fontId="4" fillId="24" borderId="24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horizontal="justify" vertical="center" wrapText="1"/>
    </xf>
    <xf numFmtId="3" fontId="4" fillId="24" borderId="25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justify" vertical="center" wrapText="1"/>
    </xf>
    <xf numFmtId="3" fontId="5" fillId="0" borderId="21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3" fontId="4" fillId="24" borderId="30" xfId="0" applyNumberFormat="1" applyFont="1" applyFill="1" applyBorder="1" applyAlignment="1">
      <alignment vertical="center"/>
    </xf>
    <xf numFmtId="3" fontId="5" fillId="0" borderId="31" xfId="0" applyNumberFormat="1" applyFont="1" applyFill="1" applyBorder="1" applyAlignment="1">
      <alignment horizontal="justify" vertical="center" wrapText="1"/>
    </xf>
    <xf numFmtId="3" fontId="4" fillId="24" borderId="32" xfId="0" applyNumberFormat="1" applyFont="1" applyFill="1" applyBorder="1" applyAlignment="1">
      <alignment vertical="center"/>
    </xf>
    <xf numFmtId="0" fontId="5" fillId="0" borderId="11" xfId="29" applyFont="1" applyFill="1" applyBorder="1" applyAlignment="1" applyProtection="1">
      <alignment horizontal="justify" vertical="center" wrapText="1"/>
      <protection locked="0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justify" vertical="center" wrapText="1"/>
    </xf>
    <xf numFmtId="0" fontId="5" fillId="0" borderId="34" xfId="0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 wrapText="1"/>
    </xf>
    <xf numFmtId="3" fontId="5" fillId="0" borderId="14" xfId="0" applyNumberFormat="1" applyFont="1" applyFill="1" applyBorder="1" applyAlignment="1">
      <alignment vertical="center"/>
    </xf>
    <xf numFmtId="3" fontId="5" fillId="0" borderId="23" xfId="0" applyNumberFormat="1" applyFont="1" applyFill="1" applyBorder="1" applyAlignment="1">
      <alignment horizontal="right" vertical="center"/>
    </xf>
    <xf numFmtId="3" fontId="5" fillId="0" borderId="35" xfId="0" applyNumberFormat="1" applyFont="1" applyFill="1" applyBorder="1" applyAlignment="1">
      <alignment vertical="center" wrapText="1"/>
    </xf>
    <xf numFmtId="0" fontId="5" fillId="0" borderId="36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8" xfId="28" applyFont="1" applyFill="1" applyBorder="1" applyAlignment="1">
      <alignment horizontal="justify" vertical="center" wrapText="1"/>
    </xf>
    <xf numFmtId="0" fontId="5" fillId="0" borderId="10" xfId="28" applyFont="1" applyFill="1" applyBorder="1" applyAlignment="1">
      <alignment horizontal="center" vertical="center" wrapText="1"/>
    </xf>
    <xf numFmtId="0" fontId="5" fillId="0" borderId="38" xfId="28" applyFont="1" applyFill="1" applyBorder="1" applyAlignment="1">
      <alignment horizontal="justify" vertical="center" wrapText="1"/>
    </xf>
    <xf numFmtId="0" fontId="5" fillId="0" borderId="23" xfId="28" applyFont="1" applyFill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right" vertical="center"/>
    </xf>
    <xf numFmtId="3" fontId="5" fillId="0" borderId="31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vertical="center" wrapText="1"/>
    </xf>
    <xf numFmtId="0" fontId="5" fillId="0" borderId="15" xfId="28" applyFont="1" applyBorder="1" applyAlignment="1">
      <alignment horizontal="justify" vertical="center" wrapText="1"/>
    </xf>
    <xf numFmtId="0" fontId="5" fillId="0" borderId="15" xfId="28" applyFont="1" applyFill="1" applyBorder="1" applyAlignment="1">
      <alignment horizontal="justify" vertical="center" wrapText="1"/>
    </xf>
    <xf numFmtId="3" fontId="5" fillId="0" borderId="31" xfId="0" applyNumberFormat="1" applyFont="1" applyBorder="1" applyAlignment="1">
      <alignment horizontal="right" vertical="center"/>
    </xf>
    <xf numFmtId="3" fontId="5" fillId="0" borderId="39" xfId="0" applyNumberFormat="1" applyFont="1" applyBorder="1" applyAlignment="1">
      <alignment horizontal="right" vertical="center"/>
    </xf>
    <xf numFmtId="0" fontId="4" fillId="24" borderId="18" xfId="0" applyFont="1" applyFill="1" applyBorder="1" applyAlignment="1">
      <alignment vertical="center"/>
    </xf>
    <xf numFmtId="0" fontId="5" fillId="24" borderId="34" xfId="0" applyFont="1" applyFill="1" applyBorder="1" applyAlignment="1">
      <alignment vertical="center"/>
    </xf>
    <xf numFmtId="0" fontId="5" fillId="24" borderId="40" xfId="0" applyFont="1" applyFill="1" applyBorder="1" applyAlignment="1">
      <alignment vertical="center"/>
    </xf>
    <xf numFmtId="0" fontId="5" fillId="24" borderId="35" xfId="0" applyFont="1" applyFill="1" applyBorder="1" applyAlignment="1">
      <alignment vertical="center"/>
    </xf>
    <xf numFmtId="0" fontId="4" fillId="24" borderId="18" xfId="0" applyFont="1" applyFill="1" applyBorder="1" applyAlignment="1">
      <alignment vertical="center" wrapText="1"/>
    </xf>
    <xf numFmtId="0" fontId="5" fillId="24" borderId="34" xfId="0" applyFont="1" applyFill="1" applyBorder="1" applyAlignment="1">
      <alignment vertical="center" wrapText="1"/>
    </xf>
    <xf numFmtId="0" fontId="5" fillId="24" borderId="35" xfId="0" applyFont="1" applyFill="1" applyBorder="1" applyAlignment="1">
      <alignment vertical="center" wrapText="1"/>
    </xf>
    <xf numFmtId="3" fontId="5" fillId="0" borderId="41" xfId="0" applyNumberFormat="1" applyFont="1" applyFill="1" applyBorder="1" applyAlignment="1">
      <alignment vertical="center"/>
    </xf>
    <xf numFmtId="3" fontId="5" fillId="0" borderId="42" xfId="0" applyNumberFormat="1" applyFont="1" applyFill="1" applyBorder="1" applyAlignment="1">
      <alignment horizontal="right" vertical="center"/>
    </xf>
    <xf numFmtId="3" fontId="5" fillId="0" borderId="43" xfId="0" applyNumberFormat="1" applyFont="1" applyFill="1" applyBorder="1" applyAlignment="1">
      <alignment horizontal="right" vertical="center"/>
    </xf>
    <xf numFmtId="3" fontId="5" fillId="0" borderId="44" xfId="0" applyNumberFormat="1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horizontal="right" vertical="center"/>
    </xf>
    <xf numFmtId="3" fontId="5" fillId="0" borderId="45" xfId="0" applyNumberFormat="1" applyFont="1" applyBorder="1" applyAlignment="1">
      <alignment horizontal="right" vertical="center"/>
    </xf>
    <xf numFmtId="3" fontId="5" fillId="0" borderId="41" xfId="0" applyNumberFormat="1" applyFont="1" applyBorder="1" applyAlignment="1">
      <alignment horizontal="left" vertical="center" wrapText="1"/>
    </xf>
    <xf numFmtId="0" fontId="5" fillId="0" borderId="16" xfId="28" applyFont="1" applyFill="1" applyBorder="1" applyAlignment="1">
      <alignment horizontal="justify" vertical="center" wrapText="1"/>
    </xf>
    <xf numFmtId="0" fontId="5" fillId="0" borderId="42" xfId="0" applyFont="1" applyFill="1" applyBorder="1" applyAlignment="1">
      <alignment horizontal="justify" vertical="center" wrapText="1"/>
    </xf>
    <xf numFmtId="3" fontId="5" fillId="0" borderId="44" xfId="0" applyNumberFormat="1" applyFont="1" applyFill="1" applyBorder="1" applyAlignment="1">
      <alignment horizontal="right" vertical="center"/>
    </xf>
    <xf numFmtId="3" fontId="5" fillId="0" borderId="41" xfId="0" applyNumberFormat="1" applyFont="1" applyFill="1" applyBorder="1" applyAlignment="1">
      <alignment horizontal="justify" vertical="center" wrapText="1"/>
    </xf>
    <xf numFmtId="0" fontId="5" fillId="0" borderId="37" xfId="0" applyFont="1" applyFill="1" applyBorder="1" applyAlignment="1">
      <alignment vertical="center" wrapText="1"/>
    </xf>
    <xf numFmtId="0" fontId="5" fillId="0" borderId="46" xfId="0" applyFont="1" applyFill="1" applyBorder="1" applyAlignment="1">
      <alignment vertical="center" wrapText="1"/>
    </xf>
    <xf numFmtId="3" fontId="5" fillId="0" borderId="42" xfId="0" applyNumberFormat="1" applyFont="1" applyFill="1" applyBorder="1" applyAlignment="1">
      <alignment vertical="center" wrapText="1"/>
    </xf>
    <xf numFmtId="3" fontId="5" fillId="0" borderId="47" xfId="0" applyNumberFormat="1" applyFont="1" applyFill="1" applyBorder="1" applyAlignment="1">
      <alignment vertical="center"/>
    </xf>
    <xf numFmtId="0" fontId="5" fillId="0" borderId="48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horizontal="justify" vertical="center" wrapText="1"/>
    </xf>
    <xf numFmtId="3" fontId="5" fillId="0" borderId="37" xfId="0" applyNumberFormat="1" applyFont="1" applyFill="1" applyBorder="1" applyAlignment="1">
      <alignment vertical="center"/>
    </xf>
    <xf numFmtId="3" fontId="5" fillId="0" borderId="46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5" fillId="24" borderId="46" xfId="0" applyNumberFormat="1" applyFont="1" applyFill="1" applyBorder="1" applyAlignment="1">
      <alignment horizontal="center" vertical="center"/>
    </xf>
    <xf numFmtId="3" fontId="5" fillId="24" borderId="12" xfId="0" applyNumberFormat="1" applyFont="1" applyFill="1" applyBorder="1" applyAlignment="1">
      <alignment horizontal="center" vertical="center"/>
    </xf>
    <xf numFmtId="3" fontId="4" fillId="24" borderId="24" xfId="0" applyNumberFormat="1" applyFont="1" applyFill="1" applyBorder="1" applyAlignment="1">
      <alignment horizontal="center" vertical="center"/>
    </xf>
    <xf numFmtId="3" fontId="5" fillId="24" borderId="49" xfId="0" applyNumberFormat="1" applyFont="1" applyFill="1" applyBorder="1" applyAlignment="1">
      <alignment horizontal="center" vertical="center"/>
    </xf>
    <xf numFmtId="3" fontId="5" fillId="24" borderId="50" xfId="0" applyNumberFormat="1" applyFont="1" applyFill="1" applyBorder="1" applyAlignment="1">
      <alignment horizontal="center" vertical="center"/>
    </xf>
    <xf numFmtId="3" fontId="5" fillId="24" borderId="12" xfId="0" applyNumberFormat="1" applyFont="1" applyFill="1" applyBorder="1" applyAlignment="1">
      <alignment horizontal="center" vertical="center" wrapText="1"/>
    </xf>
    <xf numFmtId="3" fontId="4" fillId="24" borderId="17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0" fontId="5" fillId="0" borderId="51" xfId="29" applyFont="1" applyFill="1" applyBorder="1" applyAlignment="1" applyProtection="1">
      <alignment horizontal="justify" vertical="center" wrapText="1"/>
      <protection locked="0"/>
    </xf>
    <xf numFmtId="0" fontId="5" fillId="0" borderId="52" xfId="0" applyFont="1" applyFill="1" applyBorder="1" applyAlignment="1">
      <alignment horizontal="center" vertical="center" wrapText="1"/>
    </xf>
    <xf numFmtId="3" fontId="5" fillId="0" borderId="53" xfId="0" applyNumberFormat="1" applyFont="1" applyFill="1" applyBorder="1" applyAlignment="1">
      <alignment vertical="center"/>
    </xf>
    <xf numFmtId="3" fontId="5" fillId="0" borderId="54" xfId="0" applyNumberFormat="1" applyFont="1" applyFill="1" applyBorder="1" applyAlignment="1">
      <alignment vertical="center"/>
    </xf>
    <xf numFmtId="3" fontId="5" fillId="0" borderId="53" xfId="0" applyNumberFormat="1" applyFont="1" applyFill="1" applyBorder="1" applyAlignment="1">
      <alignment horizontal="right" vertical="center"/>
    </xf>
    <xf numFmtId="3" fontId="4" fillId="24" borderId="57" xfId="0" applyNumberFormat="1" applyFont="1" applyFill="1" applyBorder="1" applyAlignment="1">
      <alignment horizontal="center" vertical="center"/>
    </xf>
    <xf numFmtId="3" fontId="5" fillId="24" borderId="58" xfId="0" applyNumberFormat="1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horizontal="center" vertical="center" wrapText="1"/>
    </xf>
    <xf numFmtId="3" fontId="5" fillId="0" borderId="60" xfId="0" applyNumberFormat="1" applyFont="1" applyFill="1" applyBorder="1" applyAlignment="1">
      <alignment vertical="center"/>
    </xf>
    <xf numFmtId="0" fontId="5" fillId="0" borderId="47" xfId="0" applyFont="1" applyFill="1" applyBorder="1" applyAlignment="1">
      <alignment vertical="center" wrapText="1"/>
    </xf>
    <xf numFmtId="3" fontId="5" fillId="0" borderId="61" xfId="0" applyNumberFormat="1" applyFont="1" applyFill="1" applyBorder="1" applyAlignment="1">
      <alignment vertical="center" wrapText="1"/>
    </xf>
    <xf numFmtId="0" fontId="5" fillId="0" borderId="47" xfId="0" applyFont="1" applyFill="1" applyBorder="1" applyAlignment="1">
      <alignment horizontal="justify" vertical="center" wrapText="1"/>
    </xf>
    <xf numFmtId="0" fontId="5" fillId="0" borderId="31" xfId="0" applyFont="1" applyFill="1" applyBorder="1" applyAlignment="1">
      <alignment horizontal="justify" vertical="center" wrapText="1"/>
    </xf>
    <xf numFmtId="0" fontId="5" fillId="0" borderId="64" xfId="0" applyFont="1" applyFill="1" applyBorder="1" applyAlignment="1">
      <alignment horizontal="justify" vertical="center" wrapText="1"/>
    </xf>
    <xf numFmtId="0" fontId="5" fillId="0" borderId="23" xfId="0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vertical="center"/>
    </xf>
    <xf numFmtId="3" fontId="5" fillId="0" borderId="64" xfId="0" applyNumberFormat="1" applyFont="1" applyFill="1" applyBorder="1" applyAlignment="1">
      <alignment vertical="center"/>
    </xf>
    <xf numFmtId="3" fontId="5" fillId="0" borderId="23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vertical="center" wrapText="1"/>
    </xf>
    <xf numFmtId="0" fontId="5" fillId="0" borderId="50" xfId="0" applyFont="1" applyFill="1" applyBorder="1" applyAlignment="1">
      <alignment vertical="center" wrapText="1"/>
    </xf>
    <xf numFmtId="0" fontId="5" fillId="0" borderId="67" xfId="0" applyFont="1" applyFill="1" applyBorder="1" applyAlignment="1">
      <alignment horizontal="justify" vertical="center" wrapText="1"/>
    </xf>
    <xf numFmtId="0" fontId="5" fillId="0" borderId="68" xfId="0" applyFont="1" applyFill="1" applyBorder="1" applyAlignment="1">
      <alignment horizontal="center" vertical="center" wrapText="1"/>
    </xf>
    <xf numFmtId="3" fontId="5" fillId="0" borderId="70" xfId="0" applyNumberFormat="1" applyFont="1" applyFill="1" applyBorder="1" applyAlignment="1">
      <alignment vertical="center"/>
    </xf>
    <xf numFmtId="3" fontId="5" fillId="0" borderId="71" xfId="0" applyNumberFormat="1" applyFont="1" applyFill="1" applyBorder="1" applyAlignment="1">
      <alignment horizontal="right" vertical="center"/>
    </xf>
    <xf numFmtId="3" fontId="5" fillId="0" borderId="69" xfId="0" applyNumberFormat="1" applyFont="1" applyFill="1" applyBorder="1" applyAlignment="1">
      <alignment horizontal="right" vertical="center"/>
    </xf>
    <xf numFmtId="3" fontId="5" fillId="24" borderId="72" xfId="0" applyNumberFormat="1" applyFont="1" applyFill="1" applyBorder="1" applyAlignment="1">
      <alignment horizontal="center" vertical="center"/>
    </xf>
    <xf numFmtId="3" fontId="5" fillId="0" borderId="71" xfId="0" applyNumberFormat="1" applyFont="1" applyFill="1" applyBorder="1" applyAlignment="1">
      <alignment vertical="center"/>
    </xf>
    <xf numFmtId="3" fontId="5" fillId="0" borderId="68" xfId="0" applyNumberFormat="1" applyFont="1" applyFill="1" applyBorder="1" applyAlignment="1">
      <alignment horizontal="right" vertical="center"/>
    </xf>
    <xf numFmtId="3" fontId="5" fillId="0" borderId="72" xfId="0" applyNumberFormat="1" applyFont="1" applyFill="1" applyBorder="1" applyAlignment="1">
      <alignment horizontal="right" vertical="center"/>
    </xf>
    <xf numFmtId="3" fontId="5" fillId="0" borderId="46" xfId="0" applyNumberFormat="1" applyFont="1" applyFill="1" applyBorder="1" applyAlignment="1">
      <alignment horizontal="right" vertical="center"/>
    </xf>
    <xf numFmtId="3" fontId="5" fillId="0" borderId="50" xfId="0" applyNumberFormat="1" applyFont="1" applyFill="1" applyBorder="1" applyAlignment="1">
      <alignment horizontal="right" vertical="center"/>
    </xf>
    <xf numFmtId="3" fontId="5" fillId="0" borderId="70" xfId="0" applyNumberFormat="1" applyFont="1" applyFill="1" applyBorder="1" applyAlignment="1">
      <alignment horizontal="justify" vertical="center" wrapText="1"/>
    </xf>
    <xf numFmtId="0" fontId="8" fillId="0" borderId="15" xfId="0" applyFont="1" applyBorder="1" applyAlignment="1">
      <alignment vertical="center"/>
    </xf>
    <xf numFmtId="3" fontId="4" fillId="24" borderId="17" xfId="0" applyNumberFormat="1" applyFont="1" applyFill="1" applyBorder="1" applyAlignment="1">
      <alignment horizontal="right" vertical="center"/>
    </xf>
    <xf numFmtId="0" fontId="5" fillId="0" borderId="59" xfId="0" applyFont="1" applyFill="1" applyBorder="1" applyAlignment="1">
      <alignment horizontal="justify" vertical="center" wrapText="1"/>
    </xf>
    <xf numFmtId="3" fontId="5" fillId="0" borderId="67" xfId="0" applyNumberFormat="1" applyFont="1" applyFill="1" applyBorder="1" applyAlignment="1">
      <alignment vertical="center"/>
    </xf>
    <xf numFmtId="3" fontId="5" fillId="0" borderId="68" xfId="0" applyNumberFormat="1" applyFont="1" applyFill="1" applyBorder="1" applyAlignment="1">
      <alignment vertical="center"/>
    </xf>
    <xf numFmtId="0" fontId="5" fillId="0" borderId="68" xfId="0" applyFont="1" applyFill="1" applyBorder="1" applyAlignment="1">
      <alignment vertical="center" wrapText="1"/>
    </xf>
    <xf numFmtId="0" fontId="5" fillId="0" borderId="72" xfId="0" applyFont="1" applyFill="1" applyBorder="1" applyAlignment="1">
      <alignment vertical="center" wrapText="1"/>
    </xf>
    <xf numFmtId="3" fontId="5" fillId="0" borderId="73" xfId="0" applyNumberFormat="1" applyFont="1" applyFill="1" applyBorder="1" applyAlignment="1">
      <alignment horizontal="justify" vertical="center" wrapText="1"/>
    </xf>
    <xf numFmtId="3" fontId="5" fillId="24" borderId="5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/>
    </xf>
    <xf numFmtId="0" fontId="8" fillId="0" borderId="74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left" vertical="center" wrapText="1"/>
    </xf>
    <xf numFmtId="0" fontId="5" fillId="0" borderId="7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55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74" xfId="0" applyFont="1" applyBorder="1" applyAlignment="1">
      <alignment vertical="center"/>
    </xf>
    <xf numFmtId="0" fontId="8" fillId="0" borderId="55" xfId="0" applyFont="1" applyBorder="1" applyAlignment="1">
      <alignment vertical="center"/>
    </xf>
    <xf numFmtId="0" fontId="4" fillId="0" borderId="7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0" fontId="4" fillId="0" borderId="59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vertical="center" wrapText="1"/>
    </xf>
    <xf numFmtId="3" fontId="5" fillId="0" borderId="32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vertical="center"/>
    </xf>
    <xf numFmtId="0" fontId="4" fillId="0" borderId="7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0" fontId="8" fillId="0" borderId="32" xfId="0" applyFont="1" applyFill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right" vertical="center"/>
    </xf>
    <xf numFmtId="3" fontId="5" fillId="0" borderId="62" xfId="0" applyNumberFormat="1" applyFont="1" applyFill="1" applyBorder="1" applyAlignment="1">
      <alignment vertical="center"/>
    </xf>
    <xf numFmtId="0" fontId="5" fillId="0" borderId="63" xfId="0" applyFont="1" applyFill="1" applyBorder="1" applyAlignment="1">
      <alignment vertical="center" wrapText="1"/>
    </xf>
    <xf numFmtId="0" fontId="4" fillId="24" borderId="20" xfId="0" applyFont="1" applyFill="1" applyBorder="1" applyAlignment="1">
      <alignment vertical="center"/>
    </xf>
    <xf numFmtId="0" fontId="5" fillId="24" borderId="26" xfId="0" applyFont="1" applyFill="1" applyBorder="1" applyAlignment="1">
      <alignment vertical="center"/>
    </xf>
    <xf numFmtId="0" fontId="5" fillId="0" borderId="63" xfId="0" applyFont="1" applyFill="1" applyBorder="1" applyAlignment="1">
      <alignment horizontal="center" vertical="center" wrapText="1"/>
    </xf>
    <xf numFmtId="3" fontId="5" fillId="0" borderId="78" xfId="0" applyNumberFormat="1" applyFont="1" applyFill="1" applyBorder="1" applyAlignment="1">
      <alignment vertical="center"/>
    </xf>
    <xf numFmtId="3" fontId="4" fillId="24" borderId="30" xfId="0" applyNumberFormat="1" applyFont="1" applyFill="1" applyBorder="1" applyAlignment="1">
      <alignment horizontal="right" vertical="center"/>
    </xf>
    <xf numFmtId="3" fontId="4" fillId="24" borderId="24" xfId="0" applyNumberFormat="1" applyFont="1" applyFill="1" applyBorder="1" applyAlignment="1">
      <alignment horizontal="right" vertical="center"/>
    </xf>
    <xf numFmtId="3" fontId="5" fillId="0" borderId="42" xfId="0" applyNumberFormat="1" applyFont="1" applyFill="1" applyBorder="1" applyAlignment="1">
      <alignment vertical="center"/>
    </xf>
    <xf numFmtId="3" fontId="5" fillId="0" borderId="50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3" fontId="5" fillId="0" borderId="34" xfId="0" applyNumberFormat="1" applyFont="1" applyFill="1" applyBorder="1" applyAlignment="1">
      <alignment vertical="center"/>
    </xf>
    <xf numFmtId="3" fontId="5" fillId="0" borderId="35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 wrapText="1"/>
    </xf>
    <xf numFmtId="0" fontId="5" fillId="0" borderId="61" xfId="0" applyFont="1" applyFill="1" applyBorder="1" applyAlignment="1">
      <alignment vertical="center" wrapText="1"/>
    </xf>
    <xf numFmtId="3" fontId="5" fillId="0" borderId="4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vertical="center" wrapText="1"/>
    </xf>
    <xf numFmtId="3" fontId="5" fillId="0" borderId="27" xfId="0" applyNumberFormat="1" applyFont="1" applyFill="1" applyBorder="1" applyAlignment="1">
      <alignment horizontal="right" vertical="center"/>
    </xf>
    <xf numFmtId="3" fontId="5" fillId="0" borderId="70" xfId="0" applyNumberFormat="1" applyFont="1" applyBorder="1" applyAlignment="1">
      <alignment horizontal="left" vertical="center" wrapText="1"/>
    </xf>
    <xf numFmtId="3" fontId="5" fillId="0" borderId="16" xfId="0" applyNumberFormat="1" applyFont="1" applyFill="1" applyBorder="1" applyAlignment="1">
      <alignment horizontal="justify" vertical="center" wrapText="1"/>
    </xf>
    <xf numFmtId="3" fontId="5" fillId="0" borderId="80" xfId="0" applyNumberFormat="1" applyFont="1" applyFill="1" applyBorder="1" applyAlignment="1">
      <alignment vertical="center"/>
    </xf>
    <xf numFmtId="3" fontId="5" fillId="0" borderId="43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1" xfId="0" applyNumberFormat="1" applyFont="1" applyFill="1" applyBorder="1" applyAlignment="1">
      <alignment vertical="center"/>
    </xf>
    <xf numFmtId="3" fontId="4" fillId="0" borderId="75" xfId="0" applyNumberFormat="1" applyFont="1" applyFill="1" applyBorder="1" applyAlignment="1">
      <alignment vertical="center" wrapText="1"/>
    </xf>
    <xf numFmtId="3" fontId="5" fillId="0" borderId="75" xfId="0" applyNumberFormat="1" applyFont="1" applyFill="1" applyBorder="1" applyAlignment="1">
      <alignment vertical="center"/>
    </xf>
    <xf numFmtId="0" fontId="4" fillId="0" borderId="75" xfId="0" applyFont="1" applyFill="1" applyBorder="1" applyAlignment="1">
      <alignment horizontal="center" vertical="center" wrapText="1"/>
    </xf>
    <xf numFmtId="3" fontId="5" fillId="24" borderId="46" xfId="0" applyNumberFormat="1" applyFont="1" applyFill="1" applyBorder="1" applyAlignment="1">
      <alignment horizontal="center" vertical="center" wrapText="1"/>
    </xf>
    <xf numFmtId="3" fontId="5" fillId="24" borderId="39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/>
    </xf>
    <xf numFmtId="0" fontId="5" fillId="25" borderId="25" xfId="0" applyFont="1" applyFill="1" applyBorder="1" applyAlignment="1">
      <alignment horizontal="center" vertical="center" wrapText="1"/>
    </xf>
    <xf numFmtId="0" fontId="5" fillId="25" borderId="65" xfId="0" applyFont="1" applyFill="1" applyBorder="1" applyAlignment="1">
      <alignment horizontal="center" vertical="center" wrapText="1"/>
    </xf>
    <xf numFmtId="0" fontId="5" fillId="25" borderId="66" xfId="0" applyFont="1" applyFill="1" applyBorder="1" applyAlignment="1">
      <alignment horizontal="center" vertical="center" wrapText="1"/>
    </xf>
    <xf numFmtId="3" fontId="5" fillId="24" borderId="45" xfId="0" applyNumberFormat="1" applyFont="1" applyFill="1" applyBorder="1" applyAlignment="1">
      <alignment horizontal="center" vertical="center"/>
    </xf>
    <xf numFmtId="3" fontId="5" fillId="24" borderId="31" xfId="0" applyNumberFormat="1" applyFont="1" applyFill="1" applyBorder="1" applyAlignment="1">
      <alignment horizontal="center" vertical="center"/>
    </xf>
    <xf numFmtId="3" fontId="5" fillId="24" borderId="82" xfId="0" applyNumberFormat="1" applyFont="1" applyFill="1" applyBorder="1" applyAlignment="1">
      <alignment horizontal="center" vertical="center"/>
    </xf>
    <xf numFmtId="3" fontId="4" fillId="24" borderId="33" xfId="0" applyNumberFormat="1" applyFont="1" applyFill="1" applyBorder="1" applyAlignment="1">
      <alignment vertical="center"/>
    </xf>
    <xf numFmtId="3" fontId="5" fillId="24" borderId="58" xfId="0" applyNumberFormat="1" applyFont="1" applyFill="1" applyBorder="1" applyAlignment="1">
      <alignment vertical="center"/>
    </xf>
    <xf numFmtId="3" fontId="5" fillId="24" borderId="62" xfId="0" applyNumberFormat="1" applyFont="1" applyFill="1" applyBorder="1" applyAlignment="1">
      <alignment vertical="center"/>
    </xf>
    <xf numFmtId="3" fontId="5" fillId="24" borderId="25" xfId="0" applyNumberFormat="1" applyFont="1" applyFill="1" applyBorder="1" applyAlignment="1">
      <alignment vertical="center"/>
    </xf>
    <xf numFmtId="3" fontId="5" fillId="24" borderId="18" xfId="0" applyNumberFormat="1" applyFont="1" applyFill="1" applyBorder="1" applyAlignment="1">
      <alignment vertical="center"/>
    </xf>
    <xf numFmtId="3" fontId="5" fillId="24" borderId="42" xfId="0" applyNumberFormat="1" applyFont="1" applyFill="1" applyBorder="1" applyAlignment="1">
      <alignment vertical="center"/>
    </xf>
    <xf numFmtId="3" fontId="5" fillId="24" borderId="46" xfId="0" applyNumberFormat="1" applyFont="1" applyFill="1" applyBorder="1" applyAlignment="1">
      <alignment vertical="center"/>
    </xf>
    <xf numFmtId="3" fontId="5" fillId="24" borderId="11" xfId="0" applyNumberFormat="1" applyFont="1" applyFill="1" applyBorder="1" applyAlignment="1">
      <alignment vertical="center"/>
    </xf>
    <xf numFmtId="3" fontId="5" fillId="24" borderId="12" xfId="0" applyNumberFormat="1" applyFont="1" applyFill="1" applyBorder="1" applyAlignment="1">
      <alignment vertical="center"/>
    </xf>
    <xf numFmtId="3" fontId="5" fillId="24" borderId="24" xfId="0" applyNumberFormat="1" applyFont="1" applyFill="1" applyBorder="1" applyAlignment="1">
      <alignment vertical="center"/>
    </xf>
    <xf numFmtId="0" fontId="5" fillId="25" borderId="14" xfId="0" applyFont="1" applyFill="1" applyBorder="1" applyAlignment="1">
      <alignment horizontal="center" vertical="center" wrapText="1"/>
    </xf>
    <xf numFmtId="0" fontId="5" fillId="25" borderId="54" xfId="0" applyFont="1" applyFill="1" applyBorder="1" applyAlignment="1">
      <alignment horizontal="center" vertical="center" wrapText="1"/>
    </xf>
    <xf numFmtId="3" fontId="5" fillId="24" borderId="64" xfId="0" applyNumberFormat="1" applyFont="1" applyFill="1" applyBorder="1" applyAlignment="1">
      <alignment vertical="center"/>
    </xf>
    <xf numFmtId="3" fontId="5" fillId="24" borderId="50" xfId="0" applyNumberFormat="1" applyFont="1" applyFill="1" applyBorder="1" applyAlignment="1">
      <alignment vertical="center"/>
    </xf>
    <xf numFmtId="0" fontId="5" fillId="25" borderId="49" xfId="0" applyFont="1" applyFill="1" applyBorder="1" applyAlignment="1">
      <alignment horizontal="center" vertical="center" wrapText="1"/>
    </xf>
    <xf numFmtId="3" fontId="5" fillId="24" borderId="25" xfId="0" applyNumberFormat="1" applyFont="1" applyFill="1" applyBorder="1" applyAlignment="1">
      <alignment horizontal="center" vertical="center"/>
    </xf>
    <xf numFmtId="0" fontId="5" fillId="25" borderId="61" xfId="0" applyFont="1" applyFill="1" applyBorder="1" applyAlignment="1">
      <alignment horizontal="center" vertical="center" wrapText="1"/>
    </xf>
    <xf numFmtId="0" fontId="5" fillId="25" borderId="37" xfId="0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5" fillId="25" borderId="46" xfId="0" applyFont="1" applyFill="1" applyBorder="1" applyAlignment="1">
      <alignment horizontal="center" vertical="center" wrapText="1"/>
    </xf>
    <xf numFmtId="164" fontId="5" fillId="25" borderId="29" xfId="0" applyNumberFormat="1" applyFont="1" applyFill="1" applyBorder="1" applyAlignment="1">
      <alignment horizontal="center" vertical="center"/>
    </xf>
    <xf numFmtId="0" fontId="5" fillId="25" borderId="69" xfId="0" applyFont="1" applyFill="1" applyBorder="1" applyAlignment="1">
      <alignment horizontal="center" vertical="center"/>
    </xf>
    <xf numFmtId="0" fontId="5" fillId="25" borderId="14" xfId="0" applyFont="1" applyFill="1" applyBorder="1" applyAlignment="1">
      <alignment horizontal="center" vertical="center"/>
    </xf>
    <xf numFmtId="0" fontId="5" fillId="25" borderId="29" xfId="0" applyFont="1" applyFill="1" applyBorder="1" applyAlignment="1">
      <alignment horizontal="center" vertical="center"/>
    </xf>
    <xf numFmtId="0" fontId="5" fillId="25" borderId="43" xfId="0" applyFont="1" applyFill="1" applyBorder="1" applyAlignment="1">
      <alignment horizontal="center" vertical="center" wrapText="1"/>
    </xf>
    <xf numFmtId="164" fontId="5" fillId="25" borderId="14" xfId="0" applyNumberFormat="1" applyFont="1" applyFill="1" applyBorder="1" applyAlignment="1">
      <alignment horizontal="center" vertical="center"/>
    </xf>
    <xf numFmtId="0" fontId="5" fillId="25" borderId="69" xfId="0" applyFont="1" applyFill="1" applyBorder="1" applyAlignment="1">
      <alignment horizontal="center" vertical="center" wrapText="1"/>
    </xf>
    <xf numFmtId="164" fontId="5" fillId="25" borderId="79" xfId="0" applyNumberFormat="1" applyFont="1" applyFill="1" applyBorder="1" applyAlignment="1">
      <alignment horizontal="center" vertical="center"/>
    </xf>
    <xf numFmtId="3" fontId="5" fillId="24" borderId="73" xfId="0" applyNumberFormat="1" applyFont="1" applyFill="1" applyBorder="1" applyAlignment="1">
      <alignment horizontal="center" vertical="center"/>
    </xf>
    <xf numFmtId="3" fontId="5" fillId="24" borderId="39" xfId="0" applyNumberFormat="1" applyFont="1" applyFill="1" applyBorder="1" applyAlignment="1">
      <alignment horizontal="center" vertical="center"/>
    </xf>
    <xf numFmtId="0" fontId="5" fillId="25" borderId="10" xfId="28" applyFont="1" applyFill="1" applyBorder="1" applyAlignment="1">
      <alignment horizontal="center" vertical="center" wrapText="1"/>
    </xf>
    <xf numFmtId="0" fontId="5" fillId="25" borderId="23" xfId="28" applyFont="1" applyFill="1" applyBorder="1" applyAlignment="1">
      <alignment horizontal="center" vertical="center" wrapText="1"/>
    </xf>
    <xf numFmtId="3" fontId="4" fillId="24" borderId="57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horizontal="justify" vertical="center" wrapText="1"/>
    </xf>
    <xf numFmtId="0" fontId="5" fillId="0" borderId="62" xfId="0" applyFont="1" applyFill="1" applyBorder="1" applyAlignment="1">
      <alignment horizontal="justify" vertical="center" wrapText="1"/>
    </xf>
    <xf numFmtId="0" fontId="5" fillId="0" borderId="51" xfId="0" applyFont="1" applyFill="1" applyBorder="1" applyAlignment="1">
      <alignment horizontal="justify" vertical="center" wrapText="1"/>
    </xf>
    <xf numFmtId="0" fontId="4" fillId="24" borderId="75" xfId="0" applyNumberFormat="1" applyFont="1" applyFill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4" fillId="24" borderId="60" xfId="0" applyNumberFormat="1" applyFont="1" applyFill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4" fillId="24" borderId="56" xfId="0" applyFont="1" applyFill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30" fillId="0" borderId="75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30" fillId="0" borderId="57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4" fillId="0" borderId="76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3" fillId="0" borderId="59" xfId="0" applyFont="1" applyBorder="1" applyAlignment="1">
      <alignment wrapText="1"/>
    </xf>
    <xf numFmtId="0" fontId="3" fillId="0" borderId="56" xfId="0" applyFont="1" applyBorder="1" applyAlignment="1">
      <alignment wrapText="1"/>
    </xf>
    <xf numFmtId="0" fontId="3" fillId="0" borderId="57" xfId="0" applyFont="1" applyBorder="1" applyAlignment="1">
      <alignment wrapText="1"/>
    </xf>
    <xf numFmtId="0" fontId="4" fillId="0" borderId="41" xfId="0" applyFont="1" applyFill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78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</cellXfs>
  <cellStyles count="44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_List1" xfId="28"/>
    <cellStyle name="normální_Souvislé 06-22.2.06" xfId="29"/>
    <cellStyle name="Poznámka" xfId="30" builtinId="10" customBuiltin="1"/>
    <cellStyle name="Propojená buňka" xfId="31" builtinId="24" customBuiltin="1"/>
    <cellStyle name="Správně" xfId="32" builtinId="26" customBuiltin="1"/>
    <cellStyle name="Text upozornění" xfId="33" builtinId="11" customBuiltin="1"/>
    <cellStyle name="Vstup" xfId="34" builtinId="20" customBuiltin="1"/>
    <cellStyle name="Výpočet" xfId="35" builtinId="22" customBuiltin="1"/>
    <cellStyle name="Výstup" xfId="36" builtinId="21" customBuiltin="1"/>
    <cellStyle name="Vysvětlující text" xfId="37" builtinId="53" customBuiltin="1"/>
    <cellStyle name="Zvýraznění 1" xfId="38" builtinId="29" customBuiltin="1"/>
    <cellStyle name="Zvýraznění 2" xfId="39" builtinId="33" customBuiltin="1"/>
    <cellStyle name="Zvýraznění 3" xfId="40" builtinId="37" customBuiltin="1"/>
    <cellStyle name="Zvýraznění 4" xfId="41" builtinId="41" customBuiltin="1"/>
    <cellStyle name="Zvýraznění 5" xfId="42" builtinId="45" customBuiltin="1"/>
    <cellStyle name="Zvýraznění 6" xfId="43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82BE1C3-8059-485A-A657-6D6199DF9E0E}" diskRevisions="1" revisionId="11" version="3">
  <header guid="{E0B4B8FD-AB81-4690-9594-8C03367B34EF}" dateTime="2014-08-19T15:05:52" maxSheetId="2" userName="Slívová Galina" r:id="rId1">
    <sheetIdMap count="1">
      <sheetId val="1"/>
    </sheetIdMap>
  </header>
  <header guid="{36AEFA22-3A9D-49C1-931B-0D748E4EFEEB}" dateTime="2014-08-27T09:45:58" maxSheetId="2" userName="Slívová Galina" r:id="rId2" minRId="1">
    <sheetIdMap count="1">
      <sheetId val="1"/>
    </sheetIdMap>
  </header>
  <header guid="{382BE1C3-8059-485A-A657-6D6199DF9E0E}" dateTime="2014-08-27T10:28:14" maxSheetId="2" userName="Slívová Galina" r:id="rId3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A1" t="inlineStr">
      <is>
        <t>Příloha č. 4 k materiálu č. 4/3</t>
      </is>
    </oc>
    <nc r="A1" t="inlineStr">
      <is>
        <t>Příloha č. 4 k materiálu č. 4/1</t>
      </is>
    </nc>
  </rcc>
  <rcv guid="{85224DBB-F537-4833-B955-8E5DC2BA7C74}" action="delete"/>
  <rdn rId="0" localSheetId="1" customView="1" name="Z_85224DBB_F537_4833_B955_8E5DC2BA7C74_.wvu.PrintArea" hidden="1" oldHidden="1">
    <formula>'Přehled RMK a závazků'!$A$1:$N$147</formula>
    <oldFormula>'Přehled RMK a závazků'!$A$1:$N$147</oldFormula>
  </rdn>
  <rdn rId="0" localSheetId="1" customView="1" name="Z_85224DBB_F537_4833_B955_8E5DC2BA7C74_.wvu.PrintTitles" hidden="1" oldHidden="1">
    <formula>'Přehled RMK a závazků'!$3:$6</formula>
    <oldFormula>'Přehled RMK a závazků'!$3:$6</oldFormula>
  </rdn>
  <rdn rId="0" localSheetId="1" customView="1" name="Z_85224DBB_F537_4833_B955_8E5DC2BA7C74_.wvu.Rows" hidden="1" oldHidden="1">
    <formula>'Přehled RMK a závazků'!$30:$30</formula>
    <oldFormula>'Přehled RMK a závazků'!$30:$30</oldFormula>
  </rdn>
  <rdn rId="0" localSheetId="1" customView="1" name="Z_85224DBB_F537_4833_B955_8E5DC2BA7C74_.wvu.Cols" hidden="1" oldHidden="1">
    <formula>'Přehled RMK a závazků'!$B:$C</formula>
    <oldFormula>'Přehled RMK a závazků'!$B:$C</oldFormula>
  </rdn>
  <rdn rId="0" localSheetId="1" customView="1" name="Z_85224DBB_F537_4833_B955_8E5DC2BA7C74_.wvu.FilterData" hidden="1" oldHidden="1">
    <formula>'Přehled RMK a závazků'!$A$112:$Y$133</formula>
    <oldFormula>'Přehled RMK a závazků'!$A$112:$Y$133</oldFormula>
  </rdn>
  <rcv guid="{85224DBB-F537-4833-B955-8E5DC2BA7C74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5224DBB-F537-4833-B955-8E5DC2BA7C74}" action="delete"/>
  <rdn rId="0" localSheetId="1" customView="1" name="Z_85224DBB_F537_4833_B955_8E5DC2BA7C74_.wvu.PrintArea" hidden="1" oldHidden="1">
    <formula>'Přehled RMK a závazků'!$A$1:$N$147</formula>
    <oldFormula>'Přehled RMK a závazků'!$A$1:$N$147</oldFormula>
  </rdn>
  <rdn rId="0" localSheetId="1" customView="1" name="Z_85224DBB_F537_4833_B955_8E5DC2BA7C74_.wvu.PrintTitles" hidden="1" oldHidden="1">
    <formula>'Přehled RMK a závazků'!$3:$6</formula>
    <oldFormula>'Přehled RMK a závazků'!$3:$6</oldFormula>
  </rdn>
  <rdn rId="0" localSheetId="1" customView="1" name="Z_85224DBB_F537_4833_B955_8E5DC2BA7C74_.wvu.Rows" hidden="1" oldHidden="1">
    <formula>'Přehled RMK a závazků'!$30:$30</formula>
    <oldFormula>'Přehled RMK a závazků'!$30:$30</oldFormula>
  </rdn>
  <rdn rId="0" localSheetId="1" customView="1" name="Z_85224DBB_F537_4833_B955_8E5DC2BA7C74_.wvu.Cols" hidden="1" oldHidden="1">
    <formula>'Přehled RMK a závazků'!$B:$C</formula>
    <oldFormula>'Přehled RMK a závazků'!$B:$C</oldFormula>
  </rdn>
  <rdn rId="0" localSheetId="1" customView="1" name="Z_85224DBB_F537_4833_B955_8E5DC2BA7C74_.wvu.FilterData" hidden="1" oldHidden="1">
    <formula>'Přehled RMK a závazků'!$A$112:$Y$133</formula>
    <oldFormula>'Přehled RMK a závazků'!$A$112:$Y$133</oldFormula>
  </rdn>
  <rcv guid="{85224DBB-F537-4833-B955-8E5DC2BA7C74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8"/>
  <sheetViews>
    <sheetView tabSelected="1" view="pageBreakPreview" zoomScale="82" zoomScaleNormal="80" zoomScaleSheetLayoutView="82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8" sqref="A8"/>
    </sheetView>
  </sheetViews>
  <sheetFormatPr defaultRowHeight="11.25" outlineLevelCol="1" x14ac:dyDescent="0.2"/>
  <cols>
    <col min="1" max="1" width="56.28515625" style="1" customWidth="1"/>
    <col min="2" max="2" width="6.140625" style="10" hidden="1" customWidth="1"/>
    <col min="3" max="3" width="9.28515625" style="10" hidden="1" customWidth="1"/>
    <col min="4" max="4" width="10" style="1" customWidth="1"/>
    <col min="5" max="5" width="10.7109375" style="1" bestFit="1" customWidth="1" outlineLevel="1"/>
    <col min="6" max="6" width="9.85546875" style="1" customWidth="1" outlineLevel="1"/>
    <col min="7" max="7" width="13.28515625" style="2" customWidth="1"/>
    <col min="8" max="8" width="12.42578125" style="1" customWidth="1"/>
    <col min="9" max="9" width="9.85546875" style="114" bestFit="1" customWidth="1"/>
    <col min="10" max="10" width="10.5703125" style="3" customWidth="1"/>
    <col min="11" max="11" width="9.5703125" style="1" customWidth="1"/>
    <col min="12" max="12" width="9.140625" style="1" customWidth="1"/>
    <col min="13" max="13" width="10.85546875" style="1" bestFit="1" customWidth="1"/>
    <col min="14" max="14" width="47" style="1" customWidth="1"/>
    <col min="15" max="16" width="9.140625" style="1"/>
    <col min="17" max="17" width="14.7109375" style="1" customWidth="1"/>
    <col min="18" max="16384" width="9.140625" style="1"/>
  </cols>
  <sheetData>
    <row r="1" spans="1:25" x14ac:dyDescent="0.2">
      <c r="A1" s="1" t="s">
        <v>164</v>
      </c>
    </row>
    <row r="2" spans="1:25" x14ac:dyDescent="0.2">
      <c r="A2" s="1" t="s">
        <v>163</v>
      </c>
    </row>
    <row r="3" spans="1:25" s="12" customFormat="1" ht="39.75" customHeight="1" thickBot="1" x14ac:dyDescent="0.25">
      <c r="A3" s="286" t="s">
        <v>65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T3" s="13"/>
      <c r="U3" s="13"/>
      <c r="V3" s="13"/>
      <c r="W3" s="13"/>
      <c r="X3" s="13"/>
      <c r="Y3" s="13"/>
    </row>
    <row r="4" spans="1:25" s="3" customFormat="1" ht="15" customHeight="1" x14ac:dyDescent="0.2">
      <c r="A4" s="298" t="s">
        <v>18</v>
      </c>
      <c r="B4" s="308" t="s">
        <v>12</v>
      </c>
      <c r="C4" s="287" t="s">
        <v>17</v>
      </c>
      <c r="D4" s="301" t="s">
        <v>14</v>
      </c>
      <c r="E4" s="304" t="s">
        <v>15</v>
      </c>
      <c r="F4" s="305"/>
      <c r="G4" s="281" t="s">
        <v>9</v>
      </c>
      <c r="H4" s="279" t="s">
        <v>10</v>
      </c>
      <c r="I4" s="281" t="s">
        <v>11</v>
      </c>
      <c r="J4" s="290" t="s">
        <v>39</v>
      </c>
      <c r="K4" s="291"/>
      <c r="L4" s="291"/>
      <c r="M4" s="292"/>
      <c r="N4" s="287" t="s">
        <v>19</v>
      </c>
    </row>
    <row r="5" spans="1:25" s="3" customFormat="1" ht="24" customHeight="1" thickBot="1" x14ac:dyDescent="0.25">
      <c r="A5" s="299"/>
      <c r="B5" s="309"/>
      <c r="C5" s="311"/>
      <c r="D5" s="302"/>
      <c r="E5" s="306"/>
      <c r="F5" s="307"/>
      <c r="G5" s="282"/>
      <c r="H5" s="280"/>
      <c r="I5" s="282"/>
      <c r="J5" s="293"/>
      <c r="K5" s="280"/>
      <c r="L5" s="280"/>
      <c r="M5" s="294"/>
      <c r="N5" s="288"/>
    </row>
    <row r="6" spans="1:25" s="3" customFormat="1" ht="12" thickBot="1" x14ac:dyDescent="0.25">
      <c r="A6" s="300"/>
      <c r="B6" s="310"/>
      <c r="C6" s="294"/>
      <c r="D6" s="303"/>
      <c r="E6" s="65" t="s">
        <v>69</v>
      </c>
      <c r="F6" s="66" t="s">
        <v>68</v>
      </c>
      <c r="G6" s="283">
        <v>2014</v>
      </c>
      <c r="H6" s="284"/>
      <c r="I6" s="285"/>
      <c r="J6" s="55" t="s">
        <v>38</v>
      </c>
      <c r="K6" s="55" t="s">
        <v>43</v>
      </c>
      <c r="L6" s="56" t="s">
        <v>66</v>
      </c>
      <c r="M6" s="57" t="s">
        <v>67</v>
      </c>
      <c r="N6" s="289"/>
      <c r="Q6" s="8"/>
    </row>
    <row r="7" spans="1:25" s="12" customFormat="1" ht="15.75" customHeight="1" thickBot="1" x14ac:dyDescent="0.25">
      <c r="A7" s="167"/>
      <c r="B7" s="168"/>
      <c r="C7" s="168"/>
      <c r="D7" s="166"/>
      <c r="E7" s="169"/>
      <c r="F7" s="169"/>
      <c r="G7" s="170"/>
      <c r="H7" s="171"/>
      <c r="I7" s="171"/>
      <c r="J7" s="171"/>
      <c r="K7" s="171"/>
      <c r="L7" s="171"/>
      <c r="M7" s="171"/>
      <c r="N7" s="172"/>
      <c r="Q7" s="8"/>
    </row>
    <row r="8" spans="1:25" s="12" customFormat="1" ht="12" thickBot="1" x14ac:dyDescent="0.25">
      <c r="A8" s="67" t="s">
        <v>62</v>
      </c>
      <c r="B8" s="68">
        <v>11</v>
      </c>
      <c r="C8" s="237">
        <v>5182</v>
      </c>
      <c r="D8" s="69">
        <f>E8+F8+G8+J8+K8+L8+M8</f>
        <v>3416.83</v>
      </c>
      <c r="E8" s="70">
        <v>261</v>
      </c>
      <c r="F8" s="73">
        <v>2550.83</v>
      </c>
      <c r="G8" s="247">
        <v>605</v>
      </c>
      <c r="H8" s="252">
        <v>44.75</v>
      </c>
      <c r="I8" s="118">
        <f>H8/G8*100</f>
        <v>7.3966942148760335</v>
      </c>
      <c r="J8" s="108">
        <v>0</v>
      </c>
      <c r="K8" s="109">
        <v>0</v>
      </c>
      <c r="L8" s="109">
        <v>0</v>
      </c>
      <c r="M8" s="110">
        <v>0</v>
      </c>
      <c r="N8" s="82" t="s">
        <v>37</v>
      </c>
      <c r="Q8" s="18"/>
    </row>
    <row r="9" spans="1:25" ht="18" customHeight="1" thickBot="1" x14ac:dyDescent="0.25">
      <c r="A9" s="87" t="s">
        <v>61</v>
      </c>
      <c r="B9" s="88"/>
      <c r="C9" s="89"/>
      <c r="D9" s="44">
        <f>E9+F9+G9+J9+K9+L9+M9</f>
        <v>3416.83</v>
      </c>
      <c r="E9" s="44">
        <f>E8</f>
        <v>261</v>
      </c>
      <c r="F9" s="49">
        <f>SUM(F8)</f>
        <v>2550.83</v>
      </c>
      <c r="G9" s="243">
        <f>SUM(G8)</f>
        <v>605</v>
      </c>
      <c r="H9" s="243">
        <f>SUM(H8)</f>
        <v>44.75</v>
      </c>
      <c r="I9" s="117">
        <f>H9/G9*100</f>
        <v>7.3966942148760335</v>
      </c>
      <c r="J9" s="29">
        <f>SUM(J8)</f>
        <v>0</v>
      </c>
      <c r="K9" s="29">
        <f>SUM(K8)</f>
        <v>0</v>
      </c>
      <c r="L9" s="29">
        <f>SUM(L8)</f>
        <v>0</v>
      </c>
      <c r="M9" s="51">
        <f>SUM(M8)</f>
        <v>0</v>
      </c>
      <c r="N9" s="29"/>
      <c r="Q9" s="2"/>
    </row>
    <row r="10" spans="1:25" s="12" customFormat="1" ht="15.75" customHeight="1" thickBot="1" x14ac:dyDescent="0.25">
      <c r="A10" s="167"/>
      <c r="B10" s="168"/>
      <c r="C10" s="168"/>
      <c r="D10" s="166"/>
      <c r="E10" s="169"/>
      <c r="F10" s="169"/>
      <c r="G10" s="170"/>
      <c r="H10" s="171"/>
      <c r="I10" s="171"/>
      <c r="J10" s="171"/>
      <c r="K10" s="171"/>
      <c r="L10" s="171"/>
      <c r="M10" s="171"/>
      <c r="N10" s="172"/>
      <c r="Q10" s="8"/>
    </row>
    <row r="11" spans="1:25" ht="22.5" customHeight="1" x14ac:dyDescent="0.2">
      <c r="A11" s="111" t="s">
        <v>20</v>
      </c>
      <c r="B11" s="75">
        <v>16</v>
      </c>
      <c r="C11" s="239">
        <v>4450</v>
      </c>
      <c r="D11" s="94">
        <f>G11+J11+K11+L11+M11</f>
        <v>5000</v>
      </c>
      <c r="E11" s="103" t="s">
        <v>70</v>
      </c>
      <c r="F11" s="96" t="s">
        <v>70</v>
      </c>
      <c r="G11" s="248">
        <v>5000</v>
      </c>
      <c r="H11" s="249">
        <v>0</v>
      </c>
      <c r="I11" s="240">
        <f t="shared" ref="I11:I16" si="0">H11/G11*100</f>
        <v>0</v>
      </c>
      <c r="J11" s="97">
        <v>0</v>
      </c>
      <c r="K11" s="112">
        <v>0</v>
      </c>
      <c r="L11" s="221">
        <v>0</v>
      </c>
      <c r="M11" s="113">
        <v>0</v>
      </c>
      <c r="N11" s="104" t="s">
        <v>42</v>
      </c>
      <c r="Q11" s="2"/>
    </row>
    <row r="12" spans="1:25" ht="23.25" customHeight="1" x14ac:dyDescent="0.2">
      <c r="A12" s="58" t="s">
        <v>59</v>
      </c>
      <c r="B12" s="24">
        <v>16</v>
      </c>
      <c r="C12" s="238">
        <v>4355</v>
      </c>
      <c r="D12" s="27">
        <f>G12+J12+K12+L12+M12</f>
        <v>50000</v>
      </c>
      <c r="E12" s="45" t="s">
        <v>70</v>
      </c>
      <c r="F12" s="26" t="s">
        <v>70</v>
      </c>
      <c r="G12" s="250">
        <v>50000</v>
      </c>
      <c r="H12" s="251">
        <v>5000</v>
      </c>
      <c r="I12" s="241">
        <f t="shared" si="0"/>
        <v>10</v>
      </c>
      <c r="J12" s="25">
        <v>0</v>
      </c>
      <c r="K12" s="9">
        <v>0</v>
      </c>
      <c r="L12" s="71">
        <v>0</v>
      </c>
      <c r="M12" s="16">
        <v>0</v>
      </c>
      <c r="N12" s="52" t="s">
        <v>42</v>
      </c>
      <c r="Q12" s="2"/>
    </row>
    <row r="13" spans="1:25" s="3" customFormat="1" ht="12.75" customHeight="1" x14ac:dyDescent="0.2">
      <c r="A13" s="58" t="s">
        <v>8</v>
      </c>
      <c r="B13" s="24">
        <v>7</v>
      </c>
      <c r="C13" s="238">
        <v>4434</v>
      </c>
      <c r="D13" s="27">
        <f>E13+F13+G13+J13+K13+L13+M13</f>
        <v>4532</v>
      </c>
      <c r="E13" s="25">
        <f>854+26+3152</f>
        <v>4032</v>
      </c>
      <c r="F13" s="71">
        <v>0</v>
      </c>
      <c r="G13" s="250">
        <v>500</v>
      </c>
      <c r="H13" s="251">
        <v>0</v>
      </c>
      <c r="I13" s="241">
        <f t="shared" si="0"/>
        <v>0</v>
      </c>
      <c r="J13" s="25">
        <v>0</v>
      </c>
      <c r="K13" s="9">
        <v>0</v>
      </c>
      <c r="L13" s="71">
        <v>0</v>
      </c>
      <c r="M13" s="16">
        <v>0</v>
      </c>
      <c r="N13" s="52" t="s">
        <v>37</v>
      </c>
      <c r="Q13" s="11"/>
    </row>
    <row r="14" spans="1:25" ht="21" x14ac:dyDescent="0.2">
      <c r="A14" s="64" t="s">
        <v>3</v>
      </c>
      <c r="B14" s="24">
        <v>16</v>
      </c>
      <c r="C14" s="253">
        <v>4976</v>
      </c>
      <c r="D14" s="27">
        <f>E14+F14+G14+J14+K14+L14+M14</f>
        <v>114000</v>
      </c>
      <c r="E14" s="25">
        <v>13577</v>
      </c>
      <c r="F14" s="71">
        <v>92898</v>
      </c>
      <c r="G14" s="250">
        <v>7525</v>
      </c>
      <c r="H14" s="251">
        <v>7525</v>
      </c>
      <c r="I14" s="241">
        <f t="shared" si="0"/>
        <v>100</v>
      </c>
      <c r="J14" s="25">
        <v>0</v>
      </c>
      <c r="K14" s="6">
        <v>0</v>
      </c>
      <c r="L14" s="26">
        <v>0</v>
      </c>
      <c r="M14" s="19">
        <v>0</v>
      </c>
      <c r="N14" s="52" t="s">
        <v>37</v>
      </c>
      <c r="Q14" s="2"/>
    </row>
    <row r="15" spans="1:25" x14ac:dyDescent="0.2">
      <c r="A15" s="64" t="s">
        <v>4</v>
      </c>
      <c r="B15" s="24">
        <v>7</v>
      </c>
      <c r="C15" s="253">
        <v>4982</v>
      </c>
      <c r="D15" s="27">
        <f>E15+F15+G15+J15+K15+L15+M15</f>
        <v>20000</v>
      </c>
      <c r="E15" s="25">
        <v>0</v>
      </c>
      <c r="F15" s="71">
        <v>0</v>
      </c>
      <c r="G15" s="250">
        <v>20000</v>
      </c>
      <c r="H15" s="251">
        <v>0</v>
      </c>
      <c r="I15" s="241">
        <f t="shared" si="0"/>
        <v>0</v>
      </c>
      <c r="J15" s="25">
        <v>0</v>
      </c>
      <c r="K15" s="6">
        <v>0</v>
      </c>
      <c r="L15" s="26">
        <v>0</v>
      </c>
      <c r="M15" s="19">
        <v>0</v>
      </c>
      <c r="N15" s="52" t="s">
        <v>37</v>
      </c>
      <c r="Q15" s="2"/>
    </row>
    <row r="16" spans="1:25" ht="12" thickBot="1" x14ac:dyDescent="0.25">
      <c r="A16" s="124" t="s">
        <v>71</v>
      </c>
      <c r="B16" s="125">
        <v>16</v>
      </c>
      <c r="C16" s="254">
        <v>5220</v>
      </c>
      <c r="D16" s="27">
        <f>E16+F16+G16+J16+K16+L16+M16</f>
        <v>1000</v>
      </c>
      <c r="E16" s="126">
        <v>0</v>
      </c>
      <c r="F16" s="127">
        <v>0</v>
      </c>
      <c r="G16" s="255">
        <v>1000</v>
      </c>
      <c r="H16" s="256">
        <v>0</v>
      </c>
      <c r="I16" s="242">
        <f t="shared" si="0"/>
        <v>0</v>
      </c>
      <c r="J16" s="126">
        <v>0</v>
      </c>
      <c r="K16" s="128">
        <v>0</v>
      </c>
      <c r="L16" s="222">
        <v>0</v>
      </c>
      <c r="M16" s="224">
        <v>0</v>
      </c>
      <c r="N16" s="52" t="s">
        <v>37</v>
      </c>
      <c r="Q16" s="2"/>
    </row>
    <row r="17" spans="1:17" s="5" customFormat="1" ht="15.75" customHeight="1" thickBot="1" x14ac:dyDescent="0.25">
      <c r="A17" s="87" t="s">
        <v>30</v>
      </c>
      <c r="B17" s="88"/>
      <c r="C17" s="88"/>
      <c r="D17" s="29">
        <f>SUM(D11:D16)</f>
        <v>194532</v>
      </c>
      <c r="E17" s="31">
        <f>SUM(E11:E16)</f>
        <v>17609</v>
      </c>
      <c r="F17" s="53">
        <f>SUM(F11:F16)</f>
        <v>92898</v>
      </c>
      <c r="G17" s="29">
        <f>SUM(G11:G16)</f>
        <v>84025</v>
      </c>
      <c r="H17" s="29">
        <f>SUM(H11:H16)</f>
        <v>12525</v>
      </c>
      <c r="I17" s="129">
        <f>H17/G17*100</f>
        <v>14.906277893484082</v>
      </c>
      <c r="J17" s="30">
        <f>SUM(J11:J16)</f>
        <v>0</v>
      </c>
      <c r="K17" s="30">
        <f>SUM(K11:K16)</f>
        <v>0</v>
      </c>
      <c r="L17" s="61">
        <f>SUM(L11:L16)</f>
        <v>0</v>
      </c>
      <c r="M17" s="29">
        <f>SUM(M11:M16)</f>
        <v>0</v>
      </c>
      <c r="N17" s="29"/>
      <c r="Q17" s="2"/>
    </row>
    <row r="18" spans="1:17" s="178" customFormat="1" ht="15.75" customHeight="1" thickBot="1" x14ac:dyDescent="0.25">
      <c r="A18" s="173"/>
      <c r="B18" s="174"/>
      <c r="C18" s="174"/>
      <c r="D18" s="175"/>
      <c r="E18" s="175"/>
      <c r="F18" s="175"/>
      <c r="G18" s="175"/>
      <c r="H18" s="175"/>
      <c r="I18" s="176"/>
      <c r="J18" s="175"/>
      <c r="K18" s="175"/>
      <c r="L18" s="175"/>
      <c r="M18" s="175"/>
      <c r="N18" s="177"/>
      <c r="Q18" s="11"/>
    </row>
    <row r="19" spans="1:17" s="12" customFormat="1" ht="11.25" customHeight="1" thickBot="1" x14ac:dyDescent="0.25">
      <c r="A19" s="102" t="s">
        <v>27</v>
      </c>
      <c r="B19" s="132">
        <v>7</v>
      </c>
      <c r="C19" s="259">
        <v>4984</v>
      </c>
      <c r="D19" s="214">
        <f>E19+F19+G19+J19+K19+L19+M19</f>
        <v>6651</v>
      </c>
      <c r="E19" s="105">
        <v>3978</v>
      </c>
      <c r="F19" s="228">
        <v>1683</v>
      </c>
      <c r="G19" s="248">
        <v>990</v>
      </c>
      <c r="H19" s="249">
        <v>0</v>
      </c>
      <c r="I19" s="115">
        <f>H19/G19*100</f>
        <v>0</v>
      </c>
      <c r="J19" s="227">
        <v>0</v>
      </c>
      <c r="K19" s="109">
        <v>0</v>
      </c>
      <c r="L19" s="220">
        <v>0</v>
      </c>
      <c r="M19" s="110">
        <v>0</v>
      </c>
      <c r="N19" s="131" t="s">
        <v>37</v>
      </c>
      <c r="Q19" s="18"/>
    </row>
    <row r="20" spans="1:17" s="12" customFormat="1" ht="11.25" customHeight="1" thickBot="1" x14ac:dyDescent="0.25">
      <c r="A20" s="278" t="s">
        <v>153</v>
      </c>
      <c r="B20" s="132">
        <v>7</v>
      </c>
      <c r="C20" s="253">
        <v>5179</v>
      </c>
      <c r="D20" s="206">
        <f>E20+F20+G20+J20+K20+L20+M20</f>
        <v>26</v>
      </c>
      <c r="E20" s="207">
        <v>0</v>
      </c>
      <c r="F20" s="229">
        <v>0</v>
      </c>
      <c r="G20" s="245">
        <v>26</v>
      </c>
      <c r="H20" s="244">
        <v>23.41</v>
      </c>
      <c r="I20" s="130">
        <f>H20/G20*100</f>
        <v>90.038461538461533</v>
      </c>
      <c r="J20" s="47">
        <v>0</v>
      </c>
      <c r="K20" s="143">
        <v>0</v>
      </c>
      <c r="L20" s="143">
        <v>0</v>
      </c>
      <c r="M20" s="144">
        <v>0</v>
      </c>
      <c r="N20" s="131"/>
      <c r="Q20" s="18"/>
    </row>
    <row r="21" spans="1:17" ht="18" customHeight="1" thickBot="1" x14ac:dyDescent="0.25">
      <c r="A21" s="87" t="s">
        <v>31</v>
      </c>
      <c r="B21" s="88"/>
      <c r="C21" s="89"/>
      <c r="D21" s="30">
        <f>SUM(D19:D20)</f>
        <v>6677</v>
      </c>
      <c r="E21" s="30">
        <f>SUM(E19:E20)</f>
        <v>3978</v>
      </c>
      <c r="F21" s="61">
        <f>SUM(F19:F20)</f>
        <v>1683</v>
      </c>
      <c r="G21" s="29">
        <f>SUM(G19:G20)</f>
        <v>1016</v>
      </c>
      <c r="H21" s="29">
        <f>SUM(H19:H20)</f>
        <v>23.41</v>
      </c>
      <c r="I21" s="121">
        <f>H21/G21*100</f>
        <v>2.3041338582677167</v>
      </c>
      <c r="J21" s="51">
        <f>SUM(J19:J20)</f>
        <v>0</v>
      </c>
      <c r="K21" s="51">
        <f t="shared" ref="K21:M21" si="1">SUM(K19:K20)</f>
        <v>0</v>
      </c>
      <c r="L21" s="51">
        <f t="shared" si="1"/>
        <v>0</v>
      </c>
      <c r="M21" s="51">
        <f t="shared" si="1"/>
        <v>0</v>
      </c>
      <c r="N21" s="51"/>
      <c r="Q21" s="2"/>
    </row>
    <row r="22" spans="1:17" ht="12" thickBot="1" x14ac:dyDescent="0.25">
      <c r="A22" s="179"/>
      <c r="B22" s="39"/>
      <c r="C22" s="39"/>
      <c r="D22" s="14"/>
      <c r="E22" s="14"/>
      <c r="F22" s="14"/>
      <c r="G22" s="18"/>
      <c r="H22" s="14"/>
      <c r="I22" s="168"/>
      <c r="J22" s="12"/>
      <c r="K22" s="14"/>
      <c r="L22" s="14"/>
      <c r="M22" s="14"/>
      <c r="N22" s="180"/>
    </row>
    <row r="23" spans="1:17" s="12" customFormat="1" ht="31.5" x14ac:dyDescent="0.2">
      <c r="A23" s="102" t="s">
        <v>16</v>
      </c>
      <c r="B23" s="75">
        <v>7</v>
      </c>
      <c r="C23" s="262">
        <v>4854</v>
      </c>
      <c r="D23" s="94">
        <f>SUM(E23+F23+G23+J23+K23+L23+M23)+50</f>
        <v>47948.01</v>
      </c>
      <c r="E23" s="107">
        <f>758+300+780+10</f>
        <v>1848</v>
      </c>
      <c r="F23" s="107">
        <f>23307.06</f>
        <v>23307.06</v>
      </c>
      <c r="G23" s="248">
        <v>22742.95</v>
      </c>
      <c r="H23" s="249">
        <v>85.32</v>
      </c>
      <c r="I23" s="115">
        <f t="shared" ref="I23:I28" si="2">H23/G23*100</f>
        <v>0.37514922206661838</v>
      </c>
      <c r="J23" s="97">
        <v>0</v>
      </c>
      <c r="K23" s="105">
        <v>0</v>
      </c>
      <c r="L23" s="105">
        <v>0</v>
      </c>
      <c r="M23" s="106">
        <v>0</v>
      </c>
      <c r="N23" s="104" t="s">
        <v>72</v>
      </c>
      <c r="Q23" s="18"/>
    </row>
    <row r="24" spans="1:17" s="12" customFormat="1" ht="21" x14ac:dyDescent="0.2">
      <c r="A24" s="32" t="s">
        <v>28</v>
      </c>
      <c r="B24" s="24">
        <v>7</v>
      </c>
      <c r="C24" s="261">
        <v>4724</v>
      </c>
      <c r="D24" s="27">
        <f>E24+F24+G24+J24+K24+L24+M24</f>
        <v>502280</v>
      </c>
      <c r="E24" s="54">
        <v>2280</v>
      </c>
      <c r="F24" s="50">
        <v>878</v>
      </c>
      <c r="G24" s="250">
        <v>6122</v>
      </c>
      <c r="H24" s="251">
        <v>2122.8200000000002</v>
      </c>
      <c r="I24" s="116">
        <f t="shared" si="2"/>
        <v>34.675269519764782</v>
      </c>
      <c r="J24" s="25">
        <v>500</v>
      </c>
      <c r="K24" s="25">
        <v>200000</v>
      </c>
      <c r="L24" s="9">
        <v>202500</v>
      </c>
      <c r="M24" s="81">
        <v>90000</v>
      </c>
      <c r="N24" s="52" t="s">
        <v>113</v>
      </c>
      <c r="Q24" s="18"/>
    </row>
    <row r="25" spans="1:17" ht="21.75" customHeight="1" x14ac:dyDescent="0.2">
      <c r="A25" s="32" t="s">
        <v>73</v>
      </c>
      <c r="B25" s="24">
        <v>10</v>
      </c>
      <c r="C25" s="263">
        <v>5254</v>
      </c>
      <c r="D25" s="27">
        <f>E25+F25+G25+J25+K25+L25+M25</f>
        <v>182</v>
      </c>
      <c r="E25" s="59">
        <v>0</v>
      </c>
      <c r="F25" s="60">
        <v>0</v>
      </c>
      <c r="G25" s="250">
        <v>182</v>
      </c>
      <c r="H25" s="251">
        <v>182</v>
      </c>
      <c r="I25" s="119">
        <f t="shared" si="2"/>
        <v>100</v>
      </c>
      <c r="J25" s="15">
        <v>0</v>
      </c>
      <c r="K25" s="6">
        <v>0</v>
      </c>
      <c r="L25" s="6">
        <v>0</v>
      </c>
      <c r="M25" s="19">
        <v>0</v>
      </c>
      <c r="N25" s="62" t="s">
        <v>37</v>
      </c>
      <c r="Q25" s="2"/>
    </row>
    <row r="26" spans="1:17" ht="21.75" customHeight="1" x14ac:dyDescent="0.2">
      <c r="A26" s="32" t="s">
        <v>122</v>
      </c>
      <c r="B26" s="24">
        <v>7</v>
      </c>
      <c r="C26" s="263">
        <v>5257</v>
      </c>
      <c r="D26" s="27">
        <f>SUM(E26+F26+G26+J26+K26+L26+M26)+4518</f>
        <v>7018</v>
      </c>
      <c r="E26" s="59">
        <v>0</v>
      </c>
      <c r="F26" s="60">
        <v>0</v>
      </c>
      <c r="G26" s="250">
        <v>2500</v>
      </c>
      <c r="H26" s="251">
        <v>0</v>
      </c>
      <c r="I26" s="119">
        <f t="shared" si="2"/>
        <v>0</v>
      </c>
      <c r="J26" s="25">
        <v>0</v>
      </c>
      <c r="K26" s="45">
        <v>0</v>
      </c>
      <c r="L26" s="6">
        <v>0</v>
      </c>
      <c r="M26" s="205">
        <v>0</v>
      </c>
      <c r="N26" s="62" t="s">
        <v>56</v>
      </c>
      <c r="Q26" s="2"/>
    </row>
    <row r="27" spans="1:17" ht="21.75" customHeight="1" x14ac:dyDescent="0.2">
      <c r="A27" s="32" t="s">
        <v>123</v>
      </c>
      <c r="B27" s="24">
        <v>7</v>
      </c>
      <c r="C27" s="263">
        <v>5258</v>
      </c>
      <c r="D27" s="27">
        <f>SUM(E27+F27+G27+J27+K27+L27+M27)+25</f>
        <v>525</v>
      </c>
      <c r="E27" s="59">
        <v>0</v>
      </c>
      <c r="F27" s="60">
        <v>0</v>
      </c>
      <c r="G27" s="250">
        <v>500</v>
      </c>
      <c r="H27" s="251">
        <v>424.24</v>
      </c>
      <c r="I27" s="119">
        <f t="shared" si="2"/>
        <v>84.847999999999999</v>
      </c>
      <c r="J27" s="25">
        <v>0</v>
      </c>
      <c r="K27" s="45">
        <v>0</v>
      </c>
      <c r="L27" s="6">
        <v>0</v>
      </c>
      <c r="M27" s="205">
        <v>0</v>
      </c>
      <c r="N27" s="62" t="s">
        <v>56</v>
      </c>
      <c r="Q27" s="2"/>
    </row>
    <row r="28" spans="1:17" s="12" customFormat="1" ht="48.75" customHeight="1" thickBot="1" x14ac:dyDescent="0.25">
      <c r="A28" s="32" t="s">
        <v>5</v>
      </c>
      <c r="B28" s="24">
        <v>7</v>
      </c>
      <c r="C28" s="261">
        <v>4985</v>
      </c>
      <c r="D28" s="27">
        <f>E28+F28+G28+J28+K28+L28+M28</f>
        <v>18500</v>
      </c>
      <c r="E28" s="23">
        <v>198</v>
      </c>
      <c r="F28" s="50">
        <f>5573+584</f>
        <v>6157</v>
      </c>
      <c r="G28" s="245">
        <v>12145</v>
      </c>
      <c r="H28" s="244">
        <v>3130.11</v>
      </c>
      <c r="I28" s="116">
        <f t="shared" si="2"/>
        <v>25.772828324413339</v>
      </c>
      <c r="J28" s="25">
        <v>0</v>
      </c>
      <c r="K28" s="25">
        <v>0</v>
      </c>
      <c r="L28" s="9">
        <v>0</v>
      </c>
      <c r="M28" s="81">
        <v>0</v>
      </c>
      <c r="N28" s="52" t="s">
        <v>113</v>
      </c>
      <c r="Q28" s="18"/>
    </row>
    <row r="29" spans="1:17" ht="15.75" customHeight="1" thickBot="1" x14ac:dyDescent="0.25">
      <c r="A29" s="87" t="s">
        <v>32</v>
      </c>
      <c r="B29" s="88"/>
      <c r="C29" s="90"/>
      <c r="D29" s="30">
        <f>SUM(D23:D28)</f>
        <v>576453.01</v>
      </c>
      <c r="E29" s="30">
        <f>SUM(E23:E28)</f>
        <v>4326</v>
      </c>
      <c r="F29" s="63">
        <f>SUM(F23:F28)</f>
        <v>30342.06</v>
      </c>
      <c r="G29" s="29">
        <f>SUM(G23:G28)</f>
        <v>44191.95</v>
      </c>
      <c r="H29" s="29">
        <f>SUM(H23:H28)</f>
        <v>5944.49</v>
      </c>
      <c r="I29" s="117">
        <f>H29/G29*100</f>
        <v>13.451522279510183</v>
      </c>
      <c r="J29" s="29">
        <f>SUM(J23:J28)</f>
        <v>500</v>
      </c>
      <c r="K29" s="63">
        <f>SUM(K23:K28)</f>
        <v>200000</v>
      </c>
      <c r="L29" s="29">
        <f>SUM(L23:L28)</f>
        <v>202500</v>
      </c>
      <c r="M29" s="51">
        <f>SUM(M23:M28)</f>
        <v>90000</v>
      </c>
      <c r="N29" s="29"/>
      <c r="Q29" s="2"/>
    </row>
    <row r="30" spans="1:17" s="12" customFormat="1" ht="15.75" hidden="1" customHeight="1" thickBot="1" x14ac:dyDescent="0.25">
      <c r="A30" s="181"/>
      <c r="B30" s="8"/>
      <c r="C30" s="8"/>
      <c r="D30" s="182"/>
      <c r="E30" s="182"/>
      <c r="F30" s="182"/>
      <c r="G30" s="183"/>
      <c r="H30" s="166"/>
      <c r="I30" s="8"/>
      <c r="J30" s="182"/>
      <c r="K30" s="182"/>
      <c r="L30" s="182"/>
      <c r="M30" s="182"/>
      <c r="N30" s="184"/>
      <c r="Q30" s="18"/>
    </row>
    <row r="31" spans="1:17" s="12" customFormat="1" ht="15.75" customHeight="1" thickBot="1" x14ac:dyDescent="0.25">
      <c r="A31" s="181"/>
      <c r="B31" s="8"/>
      <c r="C31" s="8"/>
      <c r="D31" s="182"/>
      <c r="E31" s="182"/>
      <c r="F31" s="182"/>
      <c r="G31" s="183"/>
      <c r="H31" s="166"/>
      <c r="I31" s="8"/>
      <c r="J31" s="182"/>
      <c r="K31" s="182"/>
      <c r="L31" s="182"/>
      <c r="M31" s="182"/>
      <c r="N31" s="184"/>
      <c r="Q31" s="18"/>
    </row>
    <row r="32" spans="1:17" s="12" customFormat="1" ht="21.75" thickBot="1" x14ac:dyDescent="0.25">
      <c r="A32" s="136" t="s">
        <v>75</v>
      </c>
      <c r="B32" s="132">
        <v>11</v>
      </c>
      <c r="C32" s="257">
        <v>1105</v>
      </c>
      <c r="D32" s="133">
        <f>E32+F32+G32+J32+K32+L32+M32</f>
        <v>450</v>
      </c>
      <c r="E32" s="134">
        <v>0</v>
      </c>
      <c r="F32" s="135">
        <v>0</v>
      </c>
      <c r="G32" s="247">
        <v>450</v>
      </c>
      <c r="H32" s="246">
        <v>0</v>
      </c>
      <c r="I32" s="118">
        <f>H32/G32*100</f>
        <v>0</v>
      </c>
      <c r="J32" s="108">
        <v>0</v>
      </c>
      <c r="K32" s="109">
        <v>0</v>
      </c>
      <c r="L32" s="220">
        <v>0</v>
      </c>
      <c r="M32" s="223">
        <v>0</v>
      </c>
      <c r="N32" s="131" t="s">
        <v>37</v>
      </c>
      <c r="Q32" s="18"/>
    </row>
    <row r="33" spans="1:17" ht="18" customHeight="1" thickBot="1" x14ac:dyDescent="0.25">
      <c r="A33" s="87" t="s">
        <v>74</v>
      </c>
      <c r="B33" s="88"/>
      <c r="C33" s="90"/>
      <c r="D33" s="30">
        <f>SUM(D32:D32)</f>
        <v>450</v>
      </c>
      <c r="E33" s="30">
        <f>SUM(E32:E32)</f>
        <v>0</v>
      </c>
      <c r="F33" s="30">
        <f>SUM(F32:F32)</f>
        <v>0</v>
      </c>
      <c r="G33" s="29">
        <f>SUM(G32:G32)</f>
        <v>450</v>
      </c>
      <c r="H33" s="29">
        <f>SUM(H32:H32)</f>
        <v>0</v>
      </c>
      <c r="I33" s="121">
        <f>H33/G33*100</f>
        <v>0</v>
      </c>
      <c r="J33" s="29">
        <f>SUM(J32:J32)</f>
        <v>0</v>
      </c>
      <c r="K33" s="29">
        <f>SUM(K32:K32)</f>
        <v>0</v>
      </c>
      <c r="L33" s="61">
        <f>SUM(L32:L32)</f>
        <v>0</v>
      </c>
      <c r="M33" s="29">
        <f>SUM(M32:M32)</f>
        <v>0</v>
      </c>
      <c r="N33" s="29"/>
      <c r="Q33" s="2"/>
    </row>
    <row r="34" spans="1:17" s="12" customFormat="1" ht="15.75" customHeight="1" thickBot="1" x14ac:dyDescent="0.25">
      <c r="A34" s="185"/>
      <c r="B34" s="186"/>
      <c r="C34" s="186"/>
      <c r="D34" s="187"/>
      <c r="E34" s="187"/>
      <c r="F34" s="187"/>
      <c r="G34" s="231"/>
      <c r="H34" s="232"/>
      <c r="I34" s="233"/>
      <c r="J34" s="187"/>
      <c r="K34" s="187"/>
      <c r="L34" s="187"/>
      <c r="M34" s="187"/>
      <c r="N34" s="189"/>
      <c r="Q34" s="18"/>
    </row>
    <row r="35" spans="1:17" s="3" customFormat="1" ht="22.5" customHeight="1" x14ac:dyDescent="0.2">
      <c r="A35" s="145" t="s">
        <v>76</v>
      </c>
      <c r="B35" s="146">
        <v>15</v>
      </c>
      <c r="C35" s="264">
        <v>4855</v>
      </c>
      <c r="D35" s="94">
        <f>E35+F35+G35+J35+K35+L35+M35</f>
        <v>19082</v>
      </c>
      <c r="E35" s="214">
        <f>84+624</f>
        <v>708</v>
      </c>
      <c r="F35" s="221">
        <v>76</v>
      </c>
      <c r="G35" s="248">
        <v>18298</v>
      </c>
      <c r="H35" s="249">
        <v>0</v>
      </c>
      <c r="I35" s="234">
        <f t="shared" ref="I35:I46" si="3">H35/G35*100</f>
        <v>0</v>
      </c>
      <c r="J35" s="151">
        <v>0</v>
      </c>
      <c r="K35" s="161">
        <v>0</v>
      </c>
      <c r="L35" s="162">
        <v>0</v>
      </c>
      <c r="M35" s="163">
        <v>0</v>
      </c>
      <c r="N35" s="164" t="s">
        <v>37</v>
      </c>
      <c r="Q35" s="11"/>
    </row>
    <row r="36" spans="1:17" s="3" customFormat="1" ht="22.5" customHeight="1" x14ac:dyDescent="0.2">
      <c r="A36" s="32" t="s">
        <v>45</v>
      </c>
      <c r="B36" s="24">
        <v>7</v>
      </c>
      <c r="C36" s="265">
        <v>5121</v>
      </c>
      <c r="D36" s="27">
        <f>SUM(E36+F36+G36+J36+K36+L36+M36)+180</f>
        <v>11644.82</v>
      </c>
      <c r="E36" s="15">
        <v>0</v>
      </c>
      <c r="F36" s="71">
        <v>10199.39</v>
      </c>
      <c r="G36" s="250">
        <v>1265.43</v>
      </c>
      <c r="H36" s="251">
        <v>527.32000000000005</v>
      </c>
      <c r="I36" s="120">
        <f t="shared" si="3"/>
        <v>41.671210576641933</v>
      </c>
      <c r="J36" s="25">
        <v>0</v>
      </c>
      <c r="K36" s="9">
        <v>0</v>
      </c>
      <c r="L36" s="4">
        <v>0</v>
      </c>
      <c r="M36" s="22">
        <v>0</v>
      </c>
      <c r="N36" s="137" t="s">
        <v>57</v>
      </c>
      <c r="Q36" s="11"/>
    </row>
    <row r="37" spans="1:17" s="3" customFormat="1" ht="22.5" customHeight="1" x14ac:dyDescent="0.2">
      <c r="A37" s="138" t="s">
        <v>46</v>
      </c>
      <c r="B37" s="139">
        <v>7</v>
      </c>
      <c r="C37" s="266">
        <v>5122</v>
      </c>
      <c r="D37" s="28">
        <f>E37+F37+G37+J37+K37+L37+M37</f>
        <v>20000</v>
      </c>
      <c r="E37" s="141">
        <v>0</v>
      </c>
      <c r="F37" s="140">
        <v>0</v>
      </c>
      <c r="G37" s="250">
        <v>20000</v>
      </c>
      <c r="H37" s="251">
        <v>0</v>
      </c>
      <c r="I37" s="165">
        <f t="shared" si="3"/>
        <v>0</v>
      </c>
      <c r="J37" s="47">
        <v>0</v>
      </c>
      <c r="K37" s="142">
        <v>0</v>
      </c>
      <c r="L37" s="143">
        <v>0</v>
      </c>
      <c r="M37" s="144">
        <v>0</v>
      </c>
      <c r="N37" s="62" t="s">
        <v>37</v>
      </c>
      <c r="Q37" s="11"/>
    </row>
    <row r="38" spans="1:17" s="3" customFormat="1" ht="22.5" customHeight="1" x14ac:dyDescent="0.2">
      <c r="A38" s="32" t="s">
        <v>77</v>
      </c>
      <c r="B38" s="24">
        <v>7</v>
      </c>
      <c r="C38" s="265">
        <v>5212</v>
      </c>
      <c r="D38" s="27">
        <f>E38+F38+G38+J38+K38+L38+M38</f>
        <v>600</v>
      </c>
      <c r="E38" s="15">
        <v>0</v>
      </c>
      <c r="F38" s="71">
        <v>300</v>
      </c>
      <c r="G38" s="250">
        <v>300</v>
      </c>
      <c r="H38" s="251">
        <v>300</v>
      </c>
      <c r="I38" s="120">
        <f t="shared" si="3"/>
        <v>100</v>
      </c>
      <c r="J38" s="25">
        <v>0</v>
      </c>
      <c r="K38" s="9">
        <v>0</v>
      </c>
      <c r="L38" s="4">
        <v>0</v>
      </c>
      <c r="M38" s="22">
        <v>0</v>
      </c>
      <c r="N38" s="62" t="s">
        <v>37</v>
      </c>
      <c r="Q38" s="11"/>
    </row>
    <row r="39" spans="1:17" s="3" customFormat="1" ht="22.5" customHeight="1" x14ac:dyDescent="0.2">
      <c r="A39" s="138" t="s">
        <v>78</v>
      </c>
      <c r="B39" s="139">
        <v>15</v>
      </c>
      <c r="C39" s="266">
        <v>5243</v>
      </c>
      <c r="D39" s="27">
        <f>SUM(E39+F39+G39+J39+K39+L39+M39)+2000</f>
        <v>2500</v>
      </c>
      <c r="E39" s="141">
        <v>0</v>
      </c>
      <c r="F39" s="140">
        <v>0</v>
      </c>
      <c r="G39" s="250">
        <v>500</v>
      </c>
      <c r="H39" s="251">
        <v>0</v>
      </c>
      <c r="I39" s="165">
        <f t="shared" si="3"/>
        <v>0</v>
      </c>
      <c r="J39" s="47">
        <v>0</v>
      </c>
      <c r="K39" s="142">
        <v>0</v>
      </c>
      <c r="L39" s="143">
        <v>0</v>
      </c>
      <c r="M39" s="144">
        <v>0</v>
      </c>
      <c r="N39" s="62" t="s">
        <v>56</v>
      </c>
      <c r="Q39" s="11"/>
    </row>
    <row r="40" spans="1:17" s="3" customFormat="1" ht="22.5" customHeight="1" x14ac:dyDescent="0.2">
      <c r="A40" s="138" t="s">
        <v>79</v>
      </c>
      <c r="B40" s="139">
        <v>15</v>
      </c>
      <c r="C40" s="266">
        <v>5244</v>
      </c>
      <c r="D40" s="27">
        <f>SUM(E40+F40+G40+J40+K40+L40+M40)+800</f>
        <v>1700</v>
      </c>
      <c r="E40" s="141">
        <v>0</v>
      </c>
      <c r="F40" s="140">
        <v>0</v>
      </c>
      <c r="G40" s="250">
        <v>900</v>
      </c>
      <c r="H40" s="251">
        <v>0</v>
      </c>
      <c r="I40" s="165">
        <f t="shared" si="3"/>
        <v>0</v>
      </c>
      <c r="J40" s="25">
        <v>0</v>
      </c>
      <c r="K40" s="9">
        <v>0</v>
      </c>
      <c r="L40" s="4">
        <v>0</v>
      </c>
      <c r="M40" s="22">
        <v>0</v>
      </c>
      <c r="N40" s="62" t="s">
        <v>56</v>
      </c>
      <c r="Q40" s="11"/>
    </row>
    <row r="41" spans="1:17" s="3" customFormat="1" ht="22.5" customHeight="1" x14ac:dyDescent="0.2">
      <c r="A41" s="138" t="s">
        <v>80</v>
      </c>
      <c r="B41" s="139">
        <v>15</v>
      </c>
      <c r="C41" s="266">
        <v>5245</v>
      </c>
      <c r="D41" s="27">
        <f>SUM(E41+F41+G41+J41+K41+L41+M41)+752</f>
        <v>1452</v>
      </c>
      <c r="E41" s="141">
        <v>0</v>
      </c>
      <c r="F41" s="140">
        <v>0</v>
      </c>
      <c r="G41" s="250">
        <v>700</v>
      </c>
      <c r="H41" s="251">
        <v>0</v>
      </c>
      <c r="I41" s="165">
        <f t="shared" si="3"/>
        <v>0</v>
      </c>
      <c r="J41" s="47">
        <v>0</v>
      </c>
      <c r="K41" s="142">
        <v>0</v>
      </c>
      <c r="L41" s="143">
        <v>0</v>
      </c>
      <c r="M41" s="144">
        <v>0</v>
      </c>
      <c r="N41" s="62" t="s">
        <v>56</v>
      </c>
      <c r="Q41" s="11"/>
    </row>
    <row r="42" spans="1:17" s="236" customFormat="1" ht="22.5" customHeight="1" x14ac:dyDescent="0.2">
      <c r="A42" s="138" t="s">
        <v>81</v>
      </c>
      <c r="B42" s="139">
        <v>15</v>
      </c>
      <c r="C42" s="266">
        <v>5246</v>
      </c>
      <c r="D42" s="27">
        <f>SUM(E42+F42+G42+J42+K42+L42+M42)+1100</f>
        <v>2200</v>
      </c>
      <c r="E42" s="141">
        <v>0</v>
      </c>
      <c r="F42" s="140">
        <v>0</v>
      </c>
      <c r="G42" s="250">
        <v>1100</v>
      </c>
      <c r="H42" s="251">
        <v>0</v>
      </c>
      <c r="I42" s="165">
        <f t="shared" si="3"/>
        <v>0</v>
      </c>
      <c r="J42" s="25">
        <v>0</v>
      </c>
      <c r="K42" s="9">
        <v>0</v>
      </c>
      <c r="L42" s="4">
        <v>0</v>
      </c>
      <c r="M42" s="22">
        <v>0</v>
      </c>
      <c r="N42" s="62" t="s">
        <v>56</v>
      </c>
      <c r="O42" s="3"/>
      <c r="P42" s="3"/>
      <c r="Q42" s="11"/>
    </row>
    <row r="43" spans="1:17" s="3" customFormat="1" ht="22.5" customHeight="1" x14ac:dyDescent="0.2">
      <c r="A43" s="138" t="s">
        <v>82</v>
      </c>
      <c r="B43" s="139">
        <v>15</v>
      </c>
      <c r="C43" s="266">
        <v>5247</v>
      </c>
      <c r="D43" s="27">
        <f>SUM(E43+F43+G43+J43+K43+L43+M43)+1150</f>
        <v>2950</v>
      </c>
      <c r="E43" s="141">
        <v>0</v>
      </c>
      <c r="F43" s="140">
        <v>0</v>
      </c>
      <c r="G43" s="250">
        <v>1800</v>
      </c>
      <c r="H43" s="251">
        <v>0</v>
      </c>
      <c r="I43" s="165">
        <f t="shared" si="3"/>
        <v>0</v>
      </c>
      <c r="J43" s="47">
        <v>0</v>
      </c>
      <c r="K43" s="142">
        <v>0</v>
      </c>
      <c r="L43" s="143">
        <v>0</v>
      </c>
      <c r="M43" s="144">
        <v>0</v>
      </c>
      <c r="N43" s="62" t="s">
        <v>56</v>
      </c>
      <c r="Q43" s="11"/>
    </row>
    <row r="44" spans="1:17" s="3" customFormat="1" ht="22.5" customHeight="1" x14ac:dyDescent="0.2">
      <c r="A44" s="138" t="s">
        <v>83</v>
      </c>
      <c r="B44" s="139">
        <v>15</v>
      </c>
      <c r="C44" s="266">
        <v>5248</v>
      </c>
      <c r="D44" s="27">
        <f>SUM(E44+F44+G44+J44+K44+L44+M44)+1000</f>
        <v>1500</v>
      </c>
      <c r="E44" s="141">
        <v>0</v>
      </c>
      <c r="F44" s="140">
        <v>0</v>
      </c>
      <c r="G44" s="250">
        <v>500</v>
      </c>
      <c r="H44" s="251">
        <v>500</v>
      </c>
      <c r="I44" s="165">
        <f t="shared" si="3"/>
        <v>100</v>
      </c>
      <c r="J44" s="25">
        <v>0</v>
      </c>
      <c r="K44" s="9">
        <v>0</v>
      </c>
      <c r="L44" s="4">
        <v>0</v>
      </c>
      <c r="M44" s="22">
        <v>0</v>
      </c>
      <c r="N44" s="62" t="s">
        <v>56</v>
      </c>
      <c r="Q44" s="11"/>
    </row>
    <row r="45" spans="1:17" s="3" customFormat="1" ht="22.5" customHeight="1" x14ac:dyDescent="0.2">
      <c r="A45" s="32" t="s">
        <v>84</v>
      </c>
      <c r="B45" s="24">
        <v>15</v>
      </c>
      <c r="C45" s="265">
        <v>5253</v>
      </c>
      <c r="D45" s="27">
        <f>SUM(E45+F45+G45+J45+K45+L45+M45)+1433</f>
        <v>4767.7</v>
      </c>
      <c r="E45" s="15">
        <v>0</v>
      </c>
      <c r="F45" s="71">
        <v>0</v>
      </c>
      <c r="G45" s="250">
        <v>3334.7</v>
      </c>
      <c r="H45" s="251">
        <v>0</v>
      </c>
      <c r="I45" s="120">
        <f t="shared" si="3"/>
        <v>0</v>
      </c>
      <c r="J45" s="25">
        <v>0</v>
      </c>
      <c r="K45" s="9">
        <v>0</v>
      </c>
      <c r="L45" s="4">
        <v>0</v>
      </c>
      <c r="M45" s="22">
        <v>0</v>
      </c>
      <c r="N45" s="62" t="s">
        <v>56</v>
      </c>
      <c r="Q45" s="11"/>
    </row>
    <row r="46" spans="1:17" s="3" customFormat="1" ht="22.5" customHeight="1" thickBot="1" x14ac:dyDescent="0.25">
      <c r="A46" s="32" t="s">
        <v>124</v>
      </c>
      <c r="B46" s="24">
        <v>7</v>
      </c>
      <c r="C46" s="265">
        <v>5259</v>
      </c>
      <c r="D46" s="147">
        <f>SUM(E46+F46+G46+J46+K46+L46+M46)</f>
        <v>3500</v>
      </c>
      <c r="E46" s="141">
        <v>0</v>
      </c>
      <c r="F46" s="230">
        <v>0</v>
      </c>
      <c r="G46" s="245">
        <v>3500</v>
      </c>
      <c r="H46" s="244">
        <v>0</v>
      </c>
      <c r="I46" s="235">
        <f t="shared" si="3"/>
        <v>0</v>
      </c>
      <c r="J46" s="25">
        <v>0</v>
      </c>
      <c r="K46" s="9">
        <v>0</v>
      </c>
      <c r="L46" s="4">
        <v>0</v>
      </c>
      <c r="M46" s="4">
        <v>0</v>
      </c>
      <c r="N46" s="276" t="s">
        <v>113</v>
      </c>
      <c r="Q46" s="11"/>
    </row>
    <row r="47" spans="1:17" ht="15.75" customHeight="1" thickBot="1" x14ac:dyDescent="0.25">
      <c r="A47" s="87" t="s">
        <v>33</v>
      </c>
      <c r="B47" s="88"/>
      <c r="C47" s="90"/>
      <c r="D47" s="29">
        <f>SUM(D35:D46)</f>
        <v>71896.52</v>
      </c>
      <c r="E47" s="29">
        <f>SUM(E35:E46)</f>
        <v>708</v>
      </c>
      <c r="F47" s="61">
        <f>SUM(F35:F46)</f>
        <v>10575.39</v>
      </c>
      <c r="G47" s="29">
        <f>SUM(G35:G46)</f>
        <v>52198.13</v>
      </c>
      <c r="H47" s="51">
        <f>SUM(H35:H46)</f>
        <v>1327.3200000000002</v>
      </c>
      <c r="I47" s="121">
        <f>H47/G47*100</f>
        <v>2.5428497151143157</v>
      </c>
      <c r="J47" s="29">
        <f>SUM(J35:J46)</f>
        <v>0</v>
      </c>
      <c r="K47" s="29">
        <f>SUM(K35:K46)</f>
        <v>0</v>
      </c>
      <c r="L47" s="29">
        <f>SUM(L35:L46)</f>
        <v>0</v>
      </c>
      <c r="M47" s="29">
        <f>SUM(M35:M46)</f>
        <v>0</v>
      </c>
      <c r="N47" s="29"/>
      <c r="Q47" s="2"/>
    </row>
    <row r="48" spans="1:17" s="12" customFormat="1" ht="15.75" customHeight="1" thickBot="1" x14ac:dyDescent="0.25">
      <c r="A48" s="190"/>
      <c r="B48" s="191"/>
      <c r="C48" s="191"/>
      <c r="D48" s="192"/>
      <c r="E48" s="192"/>
      <c r="F48" s="192"/>
      <c r="G48" s="188"/>
      <c r="H48" s="188"/>
      <c r="I48" s="191"/>
      <c r="J48" s="192"/>
      <c r="K48" s="192"/>
      <c r="L48" s="192"/>
      <c r="M48" s="192"/>
      <c r="N48" s="193"/>
      <c r="Q48" s="18"/>
    </row>
    <row r="49" spans="1:17" ht="26.25" customHeight="1" x14ac:dyDescent="0.2">
      <c r="A49" s="102" t="s">
        <v>60</v>
      </c>
      <c r="B49" s="75">
        <v>7</v>
      </c>
      <c r="C49" s="267">
        <v>4736</v>
      </c>
      <c r="D49" s="94">
        <f t="shared" ref="D49:D56" si="4">E49+F49+G49+J49+K49+L49+M49</f>
        <v>23675.09</v>
      </c>
      <c r="E49" s="103">
        <f>750+1180+9245</f>
        <v>11175</v>
      </c>
      <c r="F49" s="96">
        <v>3697</v>
      </c>
      <c r="G49" s="248">
        <v>8803.09</v>
      </c>
      <c r="H49" s="249">
        <v>3646.1</v>
      </c>
      <c r="I49" s="240">
        <f>H49/G49*100</f>
        <v>41.418411035216039</v>
      </c>
      <c r="J49" s="214">
        <v>0</v>
      </c>
      <c r="K49" s="98">
        <v>0</v>
      </c>
      <c r="L49" s="98">
        <v>0</v>
      </c>
      <c r="M49" s="154">
        <v>0</v>
      </c>
      <c r="N49" s="100" t="s">
        <v>37</v>
      </c>
      <c r="Q49" s="2"/>
    </row>
    <row r="50" spans="1:17" ht="31.5" x14ac:dyDescent="0.2">
      <c r="A50" s="145" t="s">
        <v>85</v>
      </c>
      <c r="B50" s="146">
        <v>7</v>
      </c>
      <c r="C50" s="269">
        <v>4508</v>
      </c>
      <c r="D50" s="147">
        <f t="shared" si="4"/>
        <v>9126</v>
      </c>
      <c r="E50" s="148">
        <v>7366</v>
      </c>
      <c r="F50" s="149">
        <v>0</v>
      </c>
      <c r="G50" s="250">
        <v>1760</v>
      </c>
      <c r="H50" s="251">
        <v>58</v>
      </c>
      <c r="I50" s="271">
        <f>H50/G50*100</f>
        <v>3.295454545454545</v>
      </c>
      <c r="J50" s="160">
        <v>0</v>
      </c>
      <c r="K50" s="152">
        <v>0</v>
      </c>
      <c r="L50" s="152">
        <v>0</v>
      </c>
      <c r="M50" s="153">
        <v>0</v>
      </c>
      <c r="N50" s="225" t="s">
        <v>37</v>
      </c>
      <c r="Q50" s="2"/>
    </row>
    <row r="51" spans="1:17" ht="25.5" customHeight="1" x14ac:dyDescent="0.2">
      <c r="A51" s="32" t="s">
        <v>29</v>
      </c>
      <c r="B51" s="24">
        <v>7</v>
      </c>
      <c r="C51" s="268">
        <v>5063</v>
      </c>
      <c r="D51" s="28">
        <f t="shared" si="4"/>
        <v>13036</v>
      </c>
      <c r="E51" s="45">
        <v>0</v>
      </c>
      <c r="F51" s="26">
        <v>36</v>
      </c>
      <c r="G51" s="250">
        <v>3000</v>
      </c>
      <c r="H51" s="251">
        <v>0</v>
      </c>
      <c r="I51" s="241">
        <f t="shared" ref="I51:I58" si="5">H51/G51*100</f>
        <v>0</v>
      </c>
      <c r="J51" s="15">
        <v>10000</v>
      </c>
      <c r="K51" s="6">
        <v>0</v>
      </c>
      <c r="L51" s="6">
        <v>0</v>
      </c>
      <c r="M51" s="19">
        <v>0</v>
      </c>
      <c r="N51" s="52" t="s">
        <v>86</v>
      </c>
      <c r="Q51" s="2"/>
    </row>
    <row r="52" spans="1:17" ht="27" customHeight="1" x14ac:dyDescent="0.2">
      <c r="A52" s="32" t="s">
        <v>40</v>
      </c>
      <c r="B52" s="24">
        <v>7</v>
      </c>
      <c r="C52" s="268">
        <v>5093</v>
      </c>
      <c r="D52" s="27">
        <f t="shared" si="4"/>
        <v>1956.7</v>
      </c>
      <c r="E52" s="45">
        <v>489</v>
      </c>
      <c r="F52" s="26">
        <v>970</v>
      </c>
      <c r="G52" s="250">
        <v>497.7</v>
      </c>
      <c r="H52" s="251">
        <v>497.69</v>
      </c>
      <c r="I52" s="241">
        <f t="shared" si="5"/>
        <v>99.99799075748443</v>
      </c>
      <c r="J52" s="15">
        <v>0</v>
      </c>
      <c r="K52" s="6">
        <v>0</v>
      </c>
      <c r="L52" s="6">
        <v>0</v>
      </c>
      <c r="M52" s="19">
        <v>0</v>
      </c>
      <c r="N52" s="52" t="s">
        <v>37</v>
      </c>
      <c r="Q52" s="2"/>
    </row>
    <row r="53" spans="1:17" ht="21.75" customHeight="1" x14ac:dyDescent="0.2">
      <c r="A53" s="32" t="s">
        <v>47</v>
      </c>
      <c r="B53" s="24">
        <v>7</v>
      </c>
      <c r="C53" s="263">
        <v>5127</v>
      </c>
      <c r="D53" s="27">
        <f t="shared" si="4"/>
        <v>4000</v>
      </c>
      <c r="E53" s="59">
        <v>0</v>
      </c>
      <c r="F53" s="60">
        <v>1000</v>
      </c>
      <c r="G53" s="250">
        <v>3000</v>
      </c>
      <c r="H53" s="251">
        <v>1858.21</v>
      </c>
      <c r="I53" s="272">
        <f t="shared" si="5"/>
        <v>61.940333333333328</v>
      </c>
      <c r="J53" s="141">
        <v>0</v>
      </c>
      <c r="K53" s="72">
        <v>0</v>
      </c>
      <c r="L53" s="72">
        <v>0</v>
      </c>
      <c r="M53" s="155">
        <v>0</v>
      </c>
      <c r="N53" s="52" t="s">
        <v>37</v>
      </c>
      <c r="Q53" s="2"/>
    </row>
    <row r="54" spans="1:17" ht="21.75" customHeight="1" x14ac:dyDescent="0.2">
      <c r="A54" s="32" t="s">
        <v>48</v>
      </c>
      <c r="B54" s="24">
        <v>7</v>
      </c>
      <c r="C54" s="263">
        <v>5130</v>
      </c>
      <c r="D54" s="27">
        <f t="shared" si="4"/>
        <v>6040</v>
      </c>
      <c r="E54" s="59">
        <v>0</v>
      </c>
      <c r="F54" s="60">
        <v>2940</v>
      </c>
      <c r="G54" s="250">
        <v>3100</v>
      </c>
      <c r="H54" s="251">
        <v>53.36</v>
      </c>
      <c r="I54" s="272">
        <f t="shared" si="5"/>
        <v>1.7212903225806451</v>
      </c>
      <c r="J54" s="141">
        <v>0</v>
      </c>
      <c r="K54" s="72">
        <v>0</v>
      </c>
      <c r="L54" s="72">
        <v>0</v>
      </c>
      <c r="M54" s="155">
        <v>0</v>
      </c>
      <c r="N54" s="52" t="s">
        <v>37</v>
      </c>
      <c r="Q54" s="2"/>
    </row>
    <row r="55" spans="1:17" ht="30" customHeight="1" x14ac:dyDescent="0.2">
      <c r="A55" s="32" t="s">
        <v>49</v>
      </c>
      <c r="B55" s="24">
        <v>7</v>
      </c>
      <c r="C55" s="263">
        <v>5134</v>
      </c>
      <c r="D55" s="27">
        <f t="shared" si="4"/>
        <v>2900</v>
      </c>
      <c r="E55" s="59">
        <v>0</v>
      </c>
      <c r="F55" s="60">
        <v>1500</v>
      </c>
      <c r="G55" s="250">
        <v>1400</v>
      </c>
      <c r="H55" s="251">
        <v>0</v>
      </c>
      <c r="I55" s="272">
        <f t="shared" si="5"/>
        <v>0</v>
      </c>
      <c r="J55" s="15">
        <v>0</v>
      </c>
      <c r="K55" s="6">
        <v>0</v>
      </c>
      <c r="L55" s="6">
        <v>0</v>
      </c>
      <c r="M55" s="19">
        <v>0</v>
      </c>
      <c r="N55" s="52" t="s">
        <v>37</v>
      </c>
      <c r="Q55" s="2"/>
    </row>
    <row r="56" spans="1:17" ht="21.75" customHeight="1" x14ac:dyDescent="0.2">
      <c r="A56" s="32" t="s">
        <v>50</v>
      </c>
      <c r="B56" s="24">
        <v>7</v>
      </c>
      <c r="C56" s="263">
        <v>5174</v>
      </c>
      <c r="D56" s="27">
        <f t="shared" si="4"/>
        <v>1050</v>
      </c>
      <c r="E56" s="59">
        <v>0</v>
      </c>
      <c r="F56" s="60">
        <v>0</v>
      </c>
      <c r="G56" s="250">
        <v>1050</v>
      </c>
      <c r="H56" s="251">
        <v>0</v>
      </c>
      <c r="I56" s="272">
        <f t="shared" si="5"/>
        <v>0</v>
      </c>
      <c r="J56" s="141">
        <v>0</v>
      </c>
      <c r="K56" s="72">
        <v>0</v>
      </c>
      <c r="L56" s="72">
        <v>0</v>
      </c>
      <c r="M56" s="155">
        <v>0</v>
      </c>
      <c r="N56" s="52" t="s">
        <v>37</v>
      </c>
      <c r="Q56" s="2"/>
    </row>
    <row r="57" spans="1:17" ht="21.75" customHeight="1" x14ac:dyDescent="0.2">
      <c r="A57" s="32" t="s">
        <v>87</v>
      </c>
      <c r="B57" s="24">
        <v>7</v>
      </c>
      <c r="C57" s="268">
        <v>5175</v>
      </c>
      <c r="D57" s="27">
        <f>SUM(E57+F57+G57+J57+K57+L57+M57)</f>
        <v>2429.58</v>
      </c>
      <c r="E57" s="45">
        <v>0</v>
      </c>
      <c r="F57" s="26">
        <v>929.58</v>
      </c>
      <c r="G57" s="250">
        <v>1500</v>
      </c>
      <c r="H57" s="251">
        <v>0</v>
      </c>
      <c r="I57" s="241">
        <f t="shared" si="5"/>
        <v>0</v>
      </c>
      <c r="J57" s="15">
        <v>0</v>
      </c>
      <c r="K57" s="6">
        <v>0</v>
      </c>
      <c r="L57" s="6">
        <v>0</v>
      </c>
      <c r="M57" s="19">
        <v>0</v>
      </c>
      <c r="N57" s="52" t="s">
        <v>37</v>
      </c>
      <c r="Q57" s="2"/>
    </row>
    <row r="58" spans="1:17" ht="21.75" customHeight="1" x14ac:dyDescent="0.2">
      <c r="A58" s="32" t="s">
        <v>121</v>
      </c>
      <c r="B58" s="24">
        <v>7</v>
      </c>
      <c r="C58" s="268">
        <v>5181</v>
      </c>
      <c r="D58" s="27">
        <f>SUM(E58+F58+G58+J58+K58+L58+M58)</f>
        <v>161</v>
      </c>
      <c r="E58" s="45">
        <v>0</v>
      </c>
      <c r="F58" s="26">
        <v>0</v>
      </c>
      <c r="G58" s="250">
        <v>161</v>
      </c>
      <c r="H58" s="251">
        <v>0</v>
      </c>
      <c r="I58" s="241">
        <f t="shared" si="5"/>
        <v>0</v>
      </c>
      <c r="J58" s="15">
        <v>0</v>
      </c>
      <c r="K58" s="6">
        <v>0</v>
      </c>
      <c r="L58" s="6">
        <v>0</v>
      </c>
      <c r="M58" s="19">
        <v>0</v>
      </c>
      <c r="N58" s="52"/>
      <c r="Q58" s="2"/>
    </row>
    <row r="59" spans="1:17" ht="21.75" customHeight="1" x14ac:dyDescent="0.2">
      <c r="A59" s="32" t="s">
        <v>88</v>
      </c>
      <c r="B59" s="24">
        <v>7</v>
      </c>
      <c r="C59" s="268">
        <v>5208</v>
      </c>
      <c r="D59" s="27">
        <f>SUM(E59+F59+G59+J59+K59+L59+M59)+460</f>
        <v>4456</v>
      </c>
      <c r="E59" s="45">
        <v>0</v>
      </c>
      <c r="F59" s="26">
        <v>996</v>
      </c>
      <c r="G59" s="250">
        <v>3000</v>
      </c>
      <c r="H59" s="251">
        <v>0</v>
      </c>
      <c r="I59" s="241">
        <f t="shared" ref="I59:I107" si="6">H59/G59*100</f>
        <v>0</v>
      </c>
      <c r="J59" s="15">
        <v>0</v>
      </c>
      <c r="K59" s="6">
        <v>0</v>
      </c>
      <c r="L59" s="6">
        <v>0</v>
      </c>
      <c r="M59" s="19">
        <v>0</v>
      </c>
      <c r="N59" s="52" t="s">
        <v>56</v>
      </c>
      <c r="Q59" s="2"/>
    </row>
    <row r="60" spans="1:17" ht="21.75" customHeight="1" x14ac:dyDescent="0.2">
      <c r="A60" s="138" t="s">
        <v>89</v>
      </c>
      <c r="B60" s="139">
        <v>7</v>
      </c>
      <c r="C60" s="263">
        <v>5223</v>
      </c>
      <c r="D60" s="27">
        <f>SUM(E60+F60+G60+J60+K60+L60+M60)</f>
        <v>6300</v>
      </c>
      <c r="E60" s="59">
        <v>0</v>
      </c>
      <c r="F60" s="60">
        <v>0</v>
      </c>
      <c r="G60" s="250">
        <v>2700</v>
      </c>
      <c r="H60" s="251">
        <v>0</v>
      </c>
      <c r="I60" s="241">
        <f t="shared" si="6"/>
        <v>0</v>
      </c>
      <c r="J60" s="141">
        <v>3600</v>
      </c>
      <c r="K60" s="72">
        <v>0</v>
      </c>
      <c r="L60" s="72">
        <v>0</v>
      </c>
      <c r="M60" s="155">
        <v>0</v>
      </c>
      <c r="N60" s="52" t="s">
        <v>113</v>
      </c>
      <c r="Q60" s="2"/>
    </row>
    <row r="61" spans="1:17" ht="21.75" customHeight="1" x14ac:dyDescent="0.2">
      <c r="A61" s="138" t="s">
        <v>90</v>
      </c>
      <c r="B61" s="24">
        <v>7</v>
      </c>
      <c r="C61" s="263">
        <v>5224</v>
      </c>
      <c r="D61" s="27">
        <f>SUM(E61+F61+G61+J61+K61+L61+M61)</f>
        <v>1000</v>
      </c>
      <c r="E61" s="45">
        <v>0</v>
      </c>
      <c r="F61" s="60">
        <v>0</v>
      </c>
      <c r="G61" s="250">
        <v>1000</v>
      </c>
      <c r="H61" s="251">
        <v>0</v>
      </c>
      <c r="I61" s="241">
        <f t="shared" si="6"/>
        <v>0</v>
      </c>
      <c r="J61" s="141">
        <v>0</v>
      </c>
      <c r="K61" s="72">
        <v>0</v>
      </c>
      <c r="L61" s="72">
        <v>0</v>
      </c>
      <c r="M61" s="155">
        <v>0</v>
      </c>
      <c r="N61" s="52" t="s">
        <v>113</v>
      </c>
      <c r="Q61" s="2"/>
    </row>
    <row r="62" spans="1:17" ht="21.75" customHeight="1" x14ac:dyDescent="0.2">
      <c r="A62" s="138" t="s">
        <v>91</v>
      </c>
      <c r="B62" s="139">
        <v>7</v>
      </c>
      <c r="C62" s="263">
        <v>5225</v>
      </c>
      <c r="D62" s="27">
        <f>SUM(E62+F62+G62+J62+K62+L62+M62)+1000</f>
        <v>5000</v>
      </c>
      <c r="E62" s="45">
        <v>0</v>
      </c>
      <c r="F62" s="60">
        <v>0</v>
      </c>
      <c r="G62" s="250">
        <f>3000+1000</f>
        <v>4000</v>
      </c>
      <c r="H62" s="251">
        <v>0</v>
      </c>
      <c r="I62" s="241">
        <f t="shared" si="6"/>
        <v>0</v>
      </c>
      <c r="J62" s="141">
        <v>0</v>
      </c>
      <c r="K62" s="72">
        <v>0</v>
      </c>
      <c r="L62" s="72">
        <v>0</v>
      </c>
      <c r="M62" s="155">
        <v>0</v>
      </c>
      <c r="N62" s="52" t="s">
        <v>56</v>
      </c>
      <c r="Q62" s="2"/>
    </row>
    <row r="63" spans="1:17" ht="21.75" customHeight="1" x14ac:dyDescent="0.2">
      <c r="A63" s="138" t="s">
        <v>92</v>
      </c>
      <c r="B63" s="24">
        <v>7</v>
      </c>
      <c r="C63" s="263">
        <v>5226</v>
      </c>
      <c r="D63" s="27">
        <f>SUM(E63+F63+G63+J63+K63+L63+M63)+500</f>
        <v>2200</v>
      </c>
      <c r="E63" s="59">
        <v>0</v>
      </c>
      <c r="F63" s="60">
        <v>0</v>
      </c>
      <c r="G63" s="250">
        <v>1700</v>
      </c>
      <c r="H63" s="251">
        <v>0</v>
      </c>
      <c r="I63" s="241">
        <f t="shared" si="6"/>
        <v>0</v>
      </c>
      <c r="J63" s="141">
        <v>0</v>
      </c>
      <c r="K63" s="72">
        <v>0</v>
      </c>
      <c r="L63" s="72">
        <v>0</v>
      </c>
      <c r="M63" s="155">
        <v>0</v>
      </c>
      <c r="N63" s="52" t="s">
        <v>56</v>
      </c>
      <c r="Q63" s="2"/>
    </row>
    <row r="64" spans="1:17" ht="21.75" customHeight="1" x14ac:dyDescent="0.2">
      <c r="A64" s="138" t="s">
        <v>93</v>
      </c>
      <c r="B64" s="139">
        <v>7</v>
      </c>
      <c r="C64" s="263">
        <v>5227</v>
      </c>
      <c r="D64" s="27">
        <f t="shared" ref="D64:D70" si="7">SUM(E64+F64+G64+J64+K64+L64+M64)</f>
        <v>2000</v>
      </c>
      <c r="E64" s="45">
        <v>0</v>
      </c>
      <c r="F64" s="60">
        <v>0</v>
      </c>
      <c r="G64" s="250">
        <v>2000</v>
      </c>
      <c r="H64" s="251">
        <v>68.37</v>
      </c>
      <c r="I64" s="241">
        <f t="shared" si="6"/>
        <v>3.4184999999999999</v>
      </c>
      <c r="J64" s="141">
        <v>0</v>
      </c>
      <c r="K64" s="72">
        <v>0</v>
      </c>
      <c r="L64" s="72">
        <v>0</v>
      </c>
      <c r="M64" s="155">
        <v>0</v>
      </c>
      <c r="N64" s="52" t="s">
        <v>113</v>
      </c>
      <c r="Q64" s="2"/>
    </row>
    <row r="65" spans="1:17" ht="21.75" customHeight="1" x14ac:dyDescent="0.2">
      <c r="A65" s="138" t="s">
        <v>94</v>
      </c>
      <c r="B65" s="24">
        <v>7</v>
      </c>
      <c r="C65" s="263">
        <v>5228</v>
      </c>
      <c r="D65" s="27">
        <f t="shared" si="7"/>
        <v>5000</v>
      </c>
      <c r="E65" s="45">
        <v>0</v>
      </c>
      <c r="F65" s="60">
        <v>0</v>
      </c>
      <c r="G65" s="250">
        <v>5000</v>
      </c>
      <c r="H65" s="251">
        <v>0</v>
      </c>
      <c r="I65" s="241">
        <f t="shared" si="6"/>
        <v>0</v>
      </c>
      <c r="J65" s="141">
        <v>0</v>
      </c>
      <c r="K65" s="72">
        <v>0</v>
      </c>
      <c r="L65" s="72">
        <v>0</v>
      </c>
      <c r="M65" s="155">
        <v>0</v>
      </c>
      <c r="N65" s="52" t="s">
        <v>113</v>
      </c>
      <c r="Q65" s="2"/>
    </row>
    <row r="66" spans="1:17" ht="21.75" customHeight="1" x14ac:dyDescent="0.2">
      <c r="A66" s="138" t="s">
        <v>95</v>
      </c>
      <c r="B66" s="139">
        <v>7</v>
      </c>
      <c r="C66" s="263">
        <v>5229</v>
      </c>
      <c r="D66" s="27">
        <f t="shared" si="7"/>
        <v>5600</v>
      </c>
      <c r="E66" s="59">
        <v>0</v>
      </c>
      <c r="F66" s="60">
        <v>0</v>
      </c>
      <c r="G66" s="250">
        <v>5600</v>
      </c>
      <c r="H66" s="251">
        <v>112.77</v>
      </c>
      <c r="I66" s="241">
        <f t="shared" si="6"/>
        <v>2.0137499999999999</v>
      </c>
      <c r="J66" s="141">
        <v>0</v>
      </c>
      <c r="K66" s="72">
        <v>0</v>
      </c>
      <c r="L66" s="72">
        <v>0</v>
      </c>
      <c r="M66" s="155">
        <v>0</v>
      </c>
      <c r="N66" s="52" t="s">
        <v>113</v>
      </c>
      <c r="Q66" s="2"/>
    </row>
    <row r="67" spans="1:17" ht="21.75" customHeight="1" x14ac:dyDescent="0.2">
      <c r="A67" s="138" t="s">
        <v>96</v>
      </c>
      <c r="B67" s="24">
        <v>7</v>
      </c>
      <c r="C67" s="263">
        <v>5230</v>
      </c>
      <c r="D67" s="27">
        <f t="shared" si="7"/>
        <v>1200</v>
      </c>
      <c r="E67" s="45">
        <v>0</v>
      </c>
      <c r="F67" s="60">
        <v>0</v>
      </c>
      <c r="G67" s="250">
        <v>1200</v>
      </c>
      <c r="H67" s="251">
        <v>32.25</v>
      </c>
      <c r="I67" s="241">
        <f t="shared" si="6"/>
        <v>2.6875</v>
      </c>
      <c r="J67" s="141">
        <v>0</v>
      </c>
      <c r="K67" s="72">
        <v>0</v>
      </c>
      <c r="L67" s="72">
        <v>0</v>
      </c>
      <c r="M67" s="155">
        <v>0</v>
      </c>
      <c r="N67" s="52" t="s">
        <v>113</v>
      </c>
      <c r="Q67" s="2"/>
    </row>
    <row r="68" spans="1:17" ht="21.75" customHeight="1" x14ac:dyDescent="0.2">
      <c r="A68" s="138" t="s">
        <v>97</v>
      </c>
      <c r="B68" s="139">
        <v>7</v>
      </c>
      <c r="C68" s="263">
        <v>5231</v>
      </c>
      <c r="D68" s="27">
        <f t="shared" si="7"/>
        <v>3900</v>
      </c>
      <c r="E68" s="45">
        <v>0</v>
      </c>
      <c r="F68" s="60">
        <v>0</v>
      </c>
      <c r="G68" s="250">
        <v>3900</v>
      </c>
      <c r="H68" s="251">
        <v>48.4</v>
      </c>
      <c r="I68" s="241">
        <f t="shared" si="6"/>
        <v>1.2410256410256411</v>
      </c>
      <c r="J68" s="141">
        <v>0</v>
      </c>
      <c r="K68" s="72">
        <v>0</v>
      </c>
      <c r="L68" s="72">
        <v>0</v>
      </c>
      <c r="M68" s="155">
        <v>0</v>
      </c>
      <c r="N68" s="52" t="s">
        <v>113</v>
      </c>
      <c r="Q68" s="2"/>
    </row>
    <row r="69" spans="1:17" ht="21.75" customHeight="1" x14ac:dyDescent="0.2">
      <c r="A69" s="138" t="s">
        <v>98</v>
      </c>
      <c r="B69" s="24">
        <v>7</v>
      </c>
      <c r="C69" s="263">
        <v>5232</v>
      </c>
      <c r="D69" s="27">
        <f t="shared" si="7"/>
        <v>2000</v>
      </c>
      <c r="E69" s="59">
        <v>0</v>
      </c>
      <c r="F69" s="60">
        <v>0</v>
      </c>
      <c r="G69" s="250">
        <v>2000</v>
      </c>
      <c r="H69" s="251">
        <v>824.33</v>
      </c>
      <c r="I69" s="241">
        <f t="shared" si="6"/>
        <v>41.216500000000003</v>
      </c>
      <c r="J69" s="141">
        <v>0</v>
      </c>
      <c r="K69" s="72">
        <v>0</v>
      </c>
      <c r="L69" s="72">
        <v>0</v>
      </c>
      <c r="M69" s="155">
        <v>0</v>
      </c>
      <c r="N69" s="52" t="s">
        <v>113</v>
      </c>
      <c r="Q69" s="2"/>
    </row>
    <row r="70" spans="1:17" ht="21.75" customHeight="1" x14ac:dyDescent="0.2">
      <c r="A70" s="138" t="s">
        <v>99</v>
      </c>
      <c r="B70" s="139">
        <v>7</v>
      </c>
      <c r="C70" s="263">
        <v>5233</v>
      </c>
      <c r="D70" s="27">
        <f t="shared" si="7"/>
        <v>1000</v>
      </c>
      <c r="E70" s="45">
        <v>0</v>
      </c>
      <c r="F70" s="60">
        <v>0</v>
      </c>
      <c r="G70" s="250">
        <v>1000</v>
      </c>
      <c r="H70" s="251">
        <v>0</v>
      </c>
      <c r="I70" s="241">
        <f t="shared" si="6"/>
        <v>0</v>
      </c>
      <c r="J70" s="141">
        <v>0</v>
      </c>
      <c r="K70" s="72">
        <v>0</v>
      </c>
      <c r="L70" s="72">
        <v>0</v>
      </c>
      <c r="M70" s="155">
        <v>0</v>
      </c>
      <c r="N70" s="52" t="s">
        <v>113</v>
      </c>
      <c r="Q70" s="2"/>
    </row>
    <row r="71" spans="1:17" ht="21.75" customHeight="1" x14ac:dyDescent="0.2">
      <c r="A71" s="138" t="s">
        <v>100</v>
      </c>
      <c r="B71" s="24">
        <v>7</v>
      </c>
      <c r="C71" s="263">
        <v>5234</v>
      </c>
      <c r="D71" s="27">
        <f>SUM(E71+F71+G71+J71+K71+L71+M71)+350</f>
        <v>1510</v>
      </c>
      <c r="E71" s="45">
        <v>0</v>
      </c>
      <c r="F71" s="60">
        <v>0</v>
      </c>
      <c r="G71" s="250">
        <v>1160</v>
      </c>
      <c r="H71" s="251">
        <v>0</v>
      </c>
      <c r="I71" s="241">
        <f t="shared" si="6"/>
        <v>0</v>
      </c>
      <c r="J71" s="141">
        <v>0</v>
      </c>
      <c r="K71" s="72">
        <v>0</v>
      </c>
      <c r="L71" s="72">
        <v>0</v>
      </c>
      <c r="M71" s="155">
        <v>0</v>
      </c>
      <c r="N71" s="52" t="s">
        <v>56</v>
      </c>
      <c r="Q71" s="2"/>
    </row>
    <row r="72" spans="1:17" ht="21.75" customHeight="1" x14ac:dyDescent="0.2">
      <c r="A72" s="138" t="s">
        <v>101</v>
      </c>
      <c r="B72" s="139">
        <v>7</v>
      </c>
      <c r="C72" s="263">
        <v>5235</v>
      </c>
      <c r="D72" s="27">
        <f>SUM(E72+F72+G72+J72+K72+L72+M72)</f>
        <v>1000</v>
      </c>
      <c r="E72" s="59">
        <v>0</v>
      </c>
      <c r="F72" s="60">
        <v>0</v>
      </c>
      <c r="G72" s="250">
        <v>1000</v>
      </c>
      <c r="H72" s="251">
        <v>0</v>
      </c>
      <c r="I72" s="241">
        <f t="shared" si="6"/>
        <v>0</v>
      </c>
      <c r="J72" s="141">
        <v>0</v>
      </c>
      <c r="K72" s="72">
        <v>0</v>
      </c>
      <c r="L72" s="72">
        <v>0</v>
      </c>
      <c r="M72" s="155">
        <v>0</v>
      </c>
      <c r="N72" s="52" t="s">
        <v>113</v>
      </c>
      <c r="Q72" s="2"/>
    </row>
    <row r="73" spans="1:17" ht="21.75" customHeight="1" x14ac:dyDescent="0.2">
      <c r="A73" s="138" t="s">
        <v>102</v>
      </c>
      <c r="B73" s="24">
        <v>7</v>
      </c>
      <c r="C73" s="263">
        <v>5236</v>
      </c>
      <c r="D73" s="27">
        <f>SUM(E73+F73+G73+J73+K73+L73+M73)+200</f>
        <v>1200</v>
      </c>
      <c r="E73" s="45">
        <v>0</v>
      </c>
      <c r="F73" s="60">
        <v>0</v>
      </c>
      <c r="G73" s="250">
        <v>1000</v>
      </c>
      <c r="H73" s="251">
        <v>358.61</v>
      </c>
      <c r="I73" s="241">
        <f t="shared" si="6"/>
        <v>35.861000000000004</v>
      </c>
      <c r="J73" s="141">
        <v>0</v>
      </c>
      <c r="K73" s="72">
        <v>0</v>
      </c>
      <c r="L73" s="72">
        <v>0</v>
      </c>
      <c r="M73" s="155">
        <v>0</v>
      </c>
      <c r="N73" s="52" t="s">
        <v>56</v>
      </c>
      <c r="Q73" s="2"/>
    </row>
    <row r="74" spans="1:17" ht="21" x14ac:dyDescent="0.2">
      <c r="A74" s="138" t="s">
        <v>103</v>
      </c>
      <c r="B74" s="139">
        <v>7</v>
      </c>
      <c r="C74" s="263">
        <v>5237</v>
      </c>
      <c r="D74" s="28">
        <f>SUM(E74+F74+G74+J74+K74+L74+M74)</f>
        <v>2000</v>
      </c>
      <c r="E74" s="59">
        <v>0</v>
      </c>
      <c r="F74" s="60">
        <v>0</v>
      </c>
      <c r="G74" s="250">
        <v>2000</v>
      </c>
      <c r="H74" s="251">
        <v>0</v>
      </c>
      <c r="I74" s="272">
        <f t="shared" si="6"/>
        <v>0</v>
      </c>
      <c r="J74" s="141">
        <v>0</v>
      </c>
      <c r="K74" s="72">
        <v>0</v>
      </c>
      <c r="L74" s="72">
        <v>0</v>
      </c>
      <c r="M74" s="155">
        <v>0</v>
      </c>
      <c r="N74" s="226" t="s">
        <v>37</v>
      </c>
      <c r="Q74" s="2"/>
    </row>
    <row r="75" spans="1:17" ht="21" x14ac:dyDescent="0.2">
      <c r="A75" s="32" t="s">
        <v>118</v>
      </c>
      <c r="B75" s="24">
        <v>13</v>
      </c>
      <c r="C75" s="268">
        <v>5255</v>
      </c>
      <c r="D75" s="28">
        <f>SUM(E75+F75+G75+J75+K75+L75+M75)</f>
        <v>458</v>
      </c>
      <c r="E75" s="45">
        <v>0</v>
      </c>
      <c r="F75" s="26">
        <v>0</v>
      </c>
      <c r="G75" s="250">
        <v>458</v>
      </c>
      <c r="H75" s="251">
        <v>458</v>
      </c>
      <c r="I75" s="241">
        <f t="shared" si="6"/>
        <v>100</v>
      </c>
      <c r="J75" s="141">
        <v>0</v>
      </c>
      <c r="K75" s="72">
        <v>0</v>
      </c>
      <c r="L75" s="72">
        <v>0</v>
      </c>
      <c r="M75" s="155">
        <v>0</v>
      </c>
      <c r="N75" s="52"/>
      <c r="Q75" s="2"/>
    </row>
    <row r="76" spans="1:17" ht="21" x14ac:dyDescent="0.2">
      <c r="A76" s="32" t="s">
        <v>119</v>
      </c>
      <c r="B76" s="24">
        <v>13</v>
      </c>
      <c r="C76" s="268">
        <v>5256</v>
      </c>
      <c r="D76" s="27">
        <f>SUM(E76+F76+G76+J76+K76+L76+M76)</f>
        <v>300</v>
      </c>
      <c r="E76" s="45">
        <v>0</v>
      </c>
      <c r="F76" s="26">
        <v>0</v>
      </c>
      <c r="G76" s="250">
        <v>300</v>
      </c>
      <c r="H76" s="251">
        <v>300</v>
      </c>
      <c r="I76" s="241">
        <f t="shared" si="6"/>
        <v>100</v>
      </c>
      <c r="J76" s="15">
        <v>0</v>
      </c>
      <c r="K76" s="6">
        <v>0</v>
      </c>
      <c r="L76" s="6">
        <v>0</v>
      </c>
      <c r="M76" s="19">
        <v>0</v>
      </c>
      <c r="N76" s="52"/>
      <c r="Q76" s="2"/>
    </row>
    <row r="77" spans="1:17" ht="21" x14ac:dyDescent="0.2">
      <c r="A77" s="32" t="s">
        <v>125</v>
      </c>
      <c r="B77" s="24">
        <v>7</v>
      </c>
      <c r="C77" s="268">
        <v>5260</v>
      </c>
      <c r="D77" s="27">
        <f>SUM(E77+F77+G77+J77+K77+L77+M77)+100</f>
        <v>600</v>
      </c>
      <c r="E77" s="45">
        <v>0</v>
      </c>
      <c r="F77" s="26">
        <v>0</v>
      </c>
      <c r="G77" s="250">
        <v>500</v>
      </c>
      <c r="H77" s="251">
        <v>500</v>
      </c>
      <c r="I77" s="241">
        <f t="shared" si="6"/>
        <v>100</v>
      </c>
      <c r="J77" s="15">
        <v>0</v>
      </c>
      <c r="K77" s="6">
        <v>0</v>
      </c>
      <c r="L77" s="6">
        <v>0</v>
      </c>
      <c r="M77" s="19">
        <v>0</v>
      </c>
      <c r="N77" s="52" t="s">
        <v>56</v>
      </c>
      <c r="Q77" s="2"/>
    </row>
    <row r="78" spans="1:17" ht="21" x14ac:dyDescent="0.2">
      <c r="A78" s="32" t="s">
        <v>126</v>
      </c>
      <c r="B78" s="24">
        <v>7</v>
      </c>
      <c r="C78" s="268">
        <v>5261</v>
      </c>
      <c r="D78" s="27">
        <f t="shared" ref="D78:D107" si="8">SUM(E78+F78+G78+J78+K78+L78+M78)</f>
        <v>1400</v>
      </c>
      <c r="E78" s="45">
        <v>0</v>
      </c>
      <c r="F78" s="26">
        <v>0</v>
      </c>
      <c r="G78" s="250">
        <v>1400</v>
      </c>
      <c r="H78" s="251">
        <v>0</v>
      </c>
      <c r="I78" s="241">
        <f t="shared" si="6"/>
        <v>0</v>
      </c>
      <c r="J78" s="15">
        <v>0</v>
      </c>
      <c r="K78" s="6">
        <v>0</v>
      </c>
      <c r="L78" s="6">
        <v>0</v>
      </c>
      <c r="M78" s="19">
        <v>0</v>
      </c>
      <c r="N78" s="52" t="s">
        <v>113</v>
      </c>
      <c r="Q78" s="2"/>
    </row>
    <row r="79" spans="1:17" ht="21" x14ac:dyDescent="0.2">
      <c r="A79" s="32" t="s">
        <v>127</v>
      </c>
      <c r="B79" s="24">
        <v>7</v>
      </c>
      <c r="C79" s="268">
        <v>5262</v>
      </c>
      <c r="D79" s="27">
        <f t="shared" si="8"/>
        <v>1500</v>
      </c>
      <c r="E79" s="45">
        <v>0</v>
      </c>
      <c r="F79" s="26">
        <v>0</v>
      </c>
      <c r="G79" s="250">
        <v>1500</v>
      </c>
      <c r="H79" s="251">
        <v>52.5</v>
      </c>
      <c r="I79" s="241">
        <f t="shared" si="6"/>
        <v>3.5000000000000004</v>
      </c>
      <c r="J79" s="15">
        <v>0</v>
      </c>
      <c r="K79" s="6">
        <v>0</v>
      </c>
      <c r="L79" s="6">
        <v>0</v>
      </c>
      <c r="M79" s="19">
        <v>0</v>
      </c>
      <c r="N79" s="52" t="s">
        <v>113</v>
      </c>
      <c r="Q79" s="2"/>
    </row>
    <row r="80" spans="1:17" ht="31.5" x14ac:dyDescent="0.2">
      <c r="A80" s="32" t="s">
        <v>128</v>
      </c>
      <c r="B80" s="24">
        <v>7</v>
      </c>
      <c r="C80" s="268">
        <v>5263</v>
      </c>
      <c r="D80" s="27">
        <f t="shared" si="8"/>
        <v>1959</v>
      </c>
      <c r="E80" s="45">
        <v>0</v>
      </c>
      <c r="F80" s="26">
        <v>0</v>
      </c>
      <c r="G80" s="250">
        <v>1959</v>
      </c>
      <c r="H80" s="251">
        <v>0</v>
      </c>
      <c r="I80" s="241">
        <f t="shared" si="6"/>
        <v>0</v>
      </c>
      <c r="J80" s="15">
        <v>0</v>
      </c>
      <c r="K80" s="6">
        <v>0</v>
      </c>
      <c r="L80" s="6">
        <v>0</v>
      </c>
      <c r="M80" s="19">
        <v>0</v>
      </c>
      <c r="N80" s="52" t="s">
        <v>113</v>
      </c>
      <c r="Q80" s="2"/>
    </row>
    <row r="81" spans="1:17" ht="21" x14ac:dyDescent="0.2">
      <c r="A81" s="32" t="s">
        <v>129</v>
      </c>
      <c r="B81" s="24">
        <v>7</v>
      </c>
      <c r="C81" s="268">
        <v>5264</v>
      </c>
      <c r="D81" s="27">
        <f t="shared" si="8"/>
        <v>2500</v>
      </c>
      <c r="E81" s="45">
        <v>0</v>
      </c>
      <c r="F81" s="26">
        <v>0</v>
      </c>
      <c r="G81" s="250">
        <v>2500</v>
      </c>
      <c r="H81" s="251">
        <v>0</v>
      </c>
      <c r="I81" s="241">
        <f t="shared" si="6"/>
        <v>0</v>
      </c>
      <c r="J81" s="15">
        <v>0</v>
      </c>
      <c r="K81" s="6">
        <v>0</v>
      </c>
      <c r="L81" s="6">
        <v>0</v>
      </c>
      <c r="M81" s="19">
        <v>0</v>
      </c>
      <c r="N81" s="52" t="s">
        <v>113</v>
      </c>
      <c r="Q81" s="2"/>
    </row>
    <row r="82" spans="1:17" ht="21" x14ac:dyDescent="0.2">
      <c r="A82" s="32" t="s">
        <v>130</v>
      </c>
      <c r="B82" s="24">
        <v>7</v>
      </c>
      <c r="C82" s="268">
        <v>5265</v>
      </c>
      <c r="D82" s="27">
        <f t="shared" si="8"/>
        <v>5000</v>
      </c>
      <c r="E82" s="45">
        <v>0</v>
      </c>
      <c r="F82" s="26">
        <v>0</v>
      </c>
      <c r="G82" s="250">
        <v>5000</v>
      </c>
      <c r="H82" s="251">
        <v>0</v>
      </c>
      <c r="I82" s="241">
        <f t="shared" si="6"/>
        <v>0</v>
      </c>
      <c r="J82" s="15">
        <v>0</v>
      </c>
      <c r="K82" s="6">
        <v>0</v>
      </c>
      <c r="L82" s="6">
        <v>0</v>
      </c>
      <c r="M82" s="19">
        <v>0</v>
      </c>
      <c r="N82" s="52" t="s">
        <v>113</v>
      </c>
      <c r="Q82" s="2"/>
    </row>
    <row r="83" spans="1:17" ht="21" x14ac:dyDescent="0.2">
      <c r="A83" s="32" t="s">
        <v>131</v>
      </c>
      <c r="B83" s="24">
        <v>7</v>
      </c>
      <c r="C83" s="268">
        <v>5266</v>
      </c>
      <c r="D83" s="27">
        <f t="shared" si="8"/>
        <v>1350</v>
      </c>
      <c r="E83" s="45">
        <v>0</v>
      </c>
      <c r="F83" s="26">
        <v>0</v>
      </c>
      <c r="G83" s="250">
        <v>1350</v>
      </c>
      <c r="H83" s="251">
        <v>0</v>
      </c>
      <c r="I83" s="241">
        <f t="shared" si="6"/>
        <v>0</v>
      </c>
      <c r="J83" s="15">
        <v>0</v>
      </c>
      <c r="K83" s="6">
        <v>0</v>
      </c>
      <c r="L83" s="6">
        <v>0</v>
      </c>
      <c r="M83" s="19">
        <v>0</v>
      </c>
      <c r="N83" s="52" t="s">
        <v>113</v>
      </c>
      <c r="Q83" s="2"/>
    </row>
    <row r="84" spans="1:17" ht="21" x14ac:dyDescent="0.2">
      <c r="A84" s="32" t="s">
        <v>132</v>
      </c>
      <c r="B84" s="24">
        <v>7</v>
      </c>
      <c r="C84" s="268">
        <v>5267</v>
      </c>
      <c r="D84" s="27">
        <f t="shared" si="8"/>
        <v>1000</v>
      </c>
      <c r="E84" s="45">
        <v>0</v>
      </c>
      <c r="F84" s="26">
        <v>0</v>
      </c>
      <c r="G84" s="250">
        <v>1000</v>
      </c>
      <c r="H84" s="251">
        <v>0</v>
      </c>
      <c r="I84" s="241">
        <f t="shared" si="6"/>
        <v>0</v>
      </c>
      <c r="J84" s="15">
        <v>0</v>
      </c>
      <c r="K84" s="6">
        <v>0</v>
      </c>
      <c r="L84" s="6">
        <v>0</v>
      </c>
      <c r="M84" s="19">
        <v>0</v>
      </c>
      <c r="N84" s="52" t="s">
        <v>113</v>
      </c>
      <c r="Q84" s="2"/>
    </row>
    <row r="85" spans="1:17" ht="21" x14ac:dyDescent="0.2">
      <c r="A85" s="32" t="s">
        <v>133</v>
      </c>
      <c r="B85" s="24">
        <v>7</v>
      </c>
      <c r="C85" s="268">
        <v>5268</v>
      </c>
      <c r="D85" s="27">
        <f t="shared" si="8"/>
        <v>550</v>
      </c>
      <c r="E85" s="45">
        <v>0</v>
      </c>
      <c r="F85" s="26">
        <v>0</v>
      </c>
      <c r="G85" s="250">
        <v>550</v>
      </c>
      <c r="H85" s="251">
        <v>17.5</v>
      </c>
      <c r="I85" s="241">
        <f t="shared" si="6"/>
        <v>3.1818181818181817</v>
      </c>
      <c r="J85" s="15">
        <v>0</v>
      </c>
      <c r="K85" s="6">
        <v>0</v>
      </c>
      <c r="L85" s="6">
        <v>0</v>
      </c>
      <c r="M85" s="19">
        <v>0</v>
      </c>
      <c r="N85" s="52" t="s">
        <v>113</v>
      </c>
      <c r="Q85" s="2"/>
    </row>
    <row r="86" spans="1:17" ht="21" x14ac:dyDescent="0.2">
      <c r="A86" s="32" t="s">
        <v>134</v>
      </c>
      <c r="B86" s="24">
        <v>7</v>
      </c>
      <c r="C86" s="268">
        <v>5269</v>
      </c>
      <c r="D86" s="27">
        <f t="shared" si="8"/>
        <v>600</v>
      </c>
      <c r="E86" s="45">
        <v>0</v>
      </c>
      <c r="F86" s="26">
        <v>0</v>
      </c>
      <c r="G86" s="250">
        <v>600</v>
      </c>
      <c r="H86" s="251">
        <v>21.78</v>
      </c>
      <c r="I86" s="241">
        <f t="shared" si="6"/>
        <v>3.63</v>
      </c>
      <c r="J86" s="15">
        <v>0</v>
      </c>
      <c r="K86" s="6">
        <v>0</v>
      </c>
      <c r="L86" s="6">
        <v>0</v>
      </c>
      <c r="M86" s="19">
        <v>0</v>
      </c>
      <c r="N86" s="52" t="s">
        <v>113</v>
      </c>
      <c r="Q86" s="2"/>
    </row>
    <row r="87" spans="1:17" ht="21" x14ac:dyDescent="0.2">
      <c r="A87" s="32" t="s">
        <v>135</v>
      </c>
      <c r="B87" s="24">
        <v>7</v>
      </c>
      <c r="C87" s="268">
        <v>5270</v>
      </c>
      <c r="D87" s="27">
        <f t="shared" si="8"/>
        <v>2800</v>
      </c>
      <c r="E87" s="45">
        <v>0</v>
      </c>
      <c r="F87" s="26">
        <v>0</v>
      </c>
      <c r="G87" s="250">
        <v>2800</v>
      </c>
      <c r="H87" s="251">
        <v>67.760000000000005</v>
      </c>
      <c r="I87" s="241">
        <f t="shared" si="6"/>
        <v>2.4200000000000004</v>
      </c>
      <c r="J87" s="15">
        <v>0</v>
      </c>
      <c r="K87" s="6">
        <v>0</v>
      </c>
      <c r="L87" s="6">
        <v>0</v>
      </c>
      <c r="M87" s="19">
        <v>0</v>
      </c>
      <c r="N87" s="52" t="s">
        <v>113</v>
      </c>
      <c r="Q87" s="2"/>
    </row>
    <row r="88" spans="1:17" ht="21" x14ac:dyDescent="0.2">
      <c r="A88" s="32" t="s">
        <v>136</v>
      </c>
      <c r="B88" s="24">
        <v>7</v>
      </c>
      <c r="C88" s="268">
        <v>5272</v>
      </c>
      <c r="D88" s="27">
        <f t="shared" si="8"/>
        <v>3714</v>
      </c>
      <c r="E88" s="45">
        <v>0</v>
      </c>
      <c r="F88" s="26">
        <v>0</v>
      </c>
      <c r="G88" s="250">
        <v>3714</v>
      </c>
      <c r="H88" s="251">
        <v>0</v>
      </c>
      <c r="I88" s="241">
        <f t="shared" si="6"/>
        <v>0</v>
      </c>
      <c r="J88" s="15">
        <v>0</v>
      </c>
      <c r="K88" s="6">
        <v>0</v>
      </c>
      <c r="L88" s="6">
        <v>0</v>
      </c>
      <c r="M88" s="19">
        <v>0</v>
      </c>
      <c r="N88" s="52" t="s">
        <v>113</v>
      </c>
      <c r="Q88" s="2"/>
    </row>
    <row r="89" spans="1:17" ht="21" x14ac:dyDescent="0.2">
      <c r="A89" s="32" t="s">
        <v>137</v>
      </c>
      <c r="B89" s="24">
        <v>7</v>
      </c>
      <c r="C89" s="268">
        <v>5273</v>
      </c>
      <c r="D89" s="27">
        <f>SUM(E89+F89+G89+J89+K89+L89+M89)+300</f>
        <v>2300</v>
      </c>
      <c r="E89" s="45">
        <v>0</v>
      </c>
      <c r="F89" s="26">
        <v>0</v>
      </c>
      <c r="G89" s="250">
        <v>2000</v>
      </c>
      <c r="H89" s="251">
        <v>0</v>
      </c>
      <c r="I89" s="241">
        <f t="shared" si="6"/>
        <v>0</v>
      </c>
      <c r="J89" s="15">
        <v>0</v>
      </c>
      <c r="K89" s="6">
        <v>0</v>
      </c>
      <c r="L89" s="6">
        <v>0</v>
      </c>
      <c r="M89" s="19">
        <v>0</v>
      </c>
      <c r="N89" s="52" t="s">
        <v>56</v>
      </c>
      <c r="Q89" s="2"/>
    </row>
    <row r="90" spans="1:17" ht="21" x14ac:dyDescent="0.2">
      <c r="A90" s="32" t="s">
        <v>138</v>
      </c>
      <c r="B90" s="24">
        <v>7</v>
      </c>
      <c r="C90" s="268">
        <v>5274</v>
      </c>
      <c r="D90" s="27">
        <f>SUM(E90+F90+G90+J90+K90+L90+M90)+200</f>
        <v>1200</v>
      </c>
      <c r="E90" s="45">
        <v>0</v>
      </c>
      <c r="F90" s="26">
        <v>0</v>
      </c>
      <c r="G90" s="250">
        <v>1000</v>
      </c>
      <c r="H90" s="251">
        <v>0</v>
      </c>
      <c r="I90" s="241">
        <f t="shared" si="6"/>
        <v>0</v>
      </c>
      <c r="J90" s="15">
        <v>0</v>
      </c>
      <c r="K90" s="6">
        <v>0</v>
      </c>
      <c r="L90" s="6">
        <v>0</v>
      </c>
      <c r="M90" s="19">
        <v>0</v>
      </c>
      <c r="N90" s="52" t="s">
        <v>56</v>
      </c>
      <c r="Q90" s="2"/>
    </row>
    <row r="91" spans="1:17" ht="21" x14ac:dyDescent="0.2">
      <c r="A91" s="32" t="s">
        <v>139</v>
      </c>
      <c r="B91" s="24">
        <v>7</v>
      </c>
      <c r="C91" s="268">
        <v>5275</v>
      </c>
      <c r="D91" s="27">
        <f>SUM(E91+F91+G91+J91+K91+L91+M91)</f>
        <v>3000</v>
      </c>
      <c r="E91" s="45">
        <v>0</v>
      </c>
      <c r="F91" s="26">
        <v>0</v>
      </c>
      <c r="G91" s="250">
        <v>3000</v>
      </c>
      <c r="H91" s="251">
        <v>169.36</v>
      </c>
      <c r="I91" s="241">
        <f t="shared" si="6"/>
        <v>5.6453333333333333</v>
      </c>
      <c r="J91" s="15">
        <v>0</v>
      </c>
      <c r="K91" s="6">
        <v>0</v>
      </c>
      <c r="L91" s="6">
        <v>0</v>
      </c>
      <c r="M91" s="19">
        <v>0</v>
      </c>
      <c r="N91" s="52" t="s">
        <v>113</v>
      </c>
      <c r="Q91" s="2"/>
    </row>
    <row r="92" spans="1:17" ht="21" x14ac:dyDescent="0.2">
      <c r="A92" s="32" t="s">
        <v>140</v>
      </c>
      <c r="B92" s="24">
        <v>7</v>
      </c>
      <c r="C92" s="268">
        <v>5276</v>
      </c>
      <c r="D92" s="27">
        <f t="shared" si="8"/>
        <v>800</v>
      </c>
      <c r="E92" s="59">
        <v>0</v>
      </c>
      <c r="F92" s="60">
        <v>0</v>
      </c>
      <c r="G92" s="250">
        <v>800</v>
      </c>
      <c r="H92" s="251">
        <v>469.95</v>
      </c>
      <c r="I92" s="241">
        <f t="shared" si="6"/>
        <v>58.743749999999991</v>
      </c>
      <c r="J92" s="141">
        <v>0</v>
      </c>
      <c r="K92" s="72">
        <v>0</v>
      </c>
      <c r="L92" s="72">
        <v>0</v>
      </c>
      <c r="M92" s="155">
        <v>0</v>
      </c>
      <c r="N92" s="52" t="s">
        <v>113</v>
      </c>
      <c r="Q92" s="2"/>
    </row>
    <row r="93" spans="1:17" ht="21" x14ac:dyDescent="0.2">
      <c r="A93" s="32" t="s">
        <v>144</v>
      </c>
      <c r="B93" s="24">
        <v>7</v>
      </c>
      <c r="C93" s="268">
        <v>5280</v>
      </c>
      <c r="D93" s="27">
        <f t="shared" si="8"/>
        <v>2100</v>
      </c>
      <c r="E93" s="59">
        <v>0</v>
      </c>
      <c r="F93" s="60">
        <v>0</v>
      </c>
      <c r="G93" s="250">
        <v>2100</v>
      </c>
      <c r="H93" s="251">
        <v>78.650000000000006</v>
      </c>
      <c r="I93" s="241">
        <f t="shared" si="6"/>
        <v>3.7452380952380953</v>
      </c>
      <c r="J93" s="141">
        <v>0</v>
      </c>
      <c r="K93" s="72">
        <v>0</v>
      </c>
      <c r="L93" s="72">
        <v>0</v>
      </c>
      <c r="M93" s="155">
        <v>0</v>
      </c>
      <c r="N93" s="52" t="s">
        <v>113</v>
      </c>
      <c r="Q93" s="2"/>
    </row>
    <row r="94" spans="1:17" ht="21" x14ac:dyDescent="0.2">
      <c r="A94" s="32" t="s">
        <v>145</v>
      </c>
      <c r="B94" s="24">
        <v>7</v>
      </c>
      <c r="C94" s="268">
        <v>5281</v>
      </c>
      <c r="D94" s="27">
        <f t="shared" si="8"/>
        <v>3250</v>
      </c>
      <c r="E94" s="59">
        <v>0</v>
      </c>
      <c r="F94" s="60">
        <v>0</v>
      </c>
      <c r="G94" s="250">
        <v>3250</v>
      </c>
      <c r="H94" s="251">
        <v>108</v>
      </c>
      <c r="I94" s="241">
        <f t="shared" si="6"/>
        <v>3.3230769230769228</v>
      </c>
      <c r="J94" s="141">
        <v>0</v>
      </c>
      <c r="K94" s="72">
        <v>0</v>
      </c>
      <c r="L94" s="72">
        <v>0</v>
      </c>
      <c r="M94" s="155">
        <v>0</v>
      </c>
      <c r="N94" s="52" t="s">
        <v>113</v>
      </c>
      <c r="Q94" s="2"/>
    </row>
    <row r="95" spans="1:17" ht="21" x14ac:dyDescent="0.2">
      <c r="A95" s="32" t="s">
        <v>146</v>
      </c>
      <c r="B95" s="24">
        <v>13</v>
      </c>
      <c r="C95" s="268">
        <v>5282</v>
      </c>
      <c r="D95" s="27">
        <f t="shared" si="8"/>
        <v>220</v>
      </c>
      <c r="E95" s="59">
        <v>0</v>
      </c>
      <c r="F95" s="60">
        <v>0</v>
      </c>
      <c r="G95" s="250">
        <v>220</v>
      </c>
      <c r="H95" s="251">
        <v>220</v>
      </c>
      <c r="I95" s="241">
        <f t="shared" si="6"/>
        <v>100</v>
      </c>
      <c r="J95" s="141">
        <v>0</v>
      </c>
      <c r="K95" s="72">
        <v>0</v>
      </c>
      <c r="L95" s="72">
        <v>0</v>
      </c>
      <c r="M95" s="155">
        <v>0</v>
      </c>
      <c r="N95" s="52" t="s">
        <v>113</v>
      </c>
      <c r="Q95" s="2"/>
    </row>
    <row r="96" spans="1:17" ht="21" x14ac:dyDescent="0.2">
      <c r="A96" s="138" t="s">
        <v>148</v>
      </c>
      <c r="B96" s="139">
        <v>7</v>
      </c>
      <c r="C96" s="263">
        <v>5283</v>
      </c>
      <c r="D96" s="27">
        <f t="shared" si="8"/>
        <v>100</v>
      </c>
      <c r="E96" s="59">
        <v>0</v>
      </c>
      <c r="F96" s="60">
        <v>0</v>
      </c>
      <c r="G96" s="250">
        <v>100</v>
      </c>
      <c r="H96" s="251">
        <v>0</v>
      </c>
      <c r="I96" s="241">
        <f t="shared" si="6"/>
        <v>0</v>
      </c>
      <c r="J96" s="141">
        <v>0</v>
      </c>
      <c r="K96" s="72">
        <v>0</v>
      </c>
      <c r="L96" s="72">
        <v>0</v>
      </c>
      <c r="M96" s="155">
        <v>0</v>
      </c>
      <c r="N96" s="52" t="s">
        <v>113</v>
      </c>
      <c r="Q96" s="2"/>
    </row>
    <row r="97" spans="1:17" ht="21" x14ac:dyDescent="0.2">
      <c r="A97" s="138" t="s">
        <v>149</v>
      </c>
      <c r="B97" s="139">
        <v>7</v>
      </c>
      <c r="C97" s="263">
        <v>5284</v>
      </c>
      <c r="D97" s="27">
        <f t="shared" si="8"/>
        <v>1500</v>
      </c>
      <c r="E97" s="59">
        <v>0</v>
      </c>
      <c r="F97" s="60">
        <v>0</v>
      </c>
      <c r="G97" s="250">
        <v>1500</v>
      </c>
      <c r="H97" s="251">
        <v>0</v>
      </c>
      <c r="I97" s="241">
        <f t="shared" si="6"/>
        <v>0</v>
      </c>
      <c r="J97" s="141">
        <v>0</v>
      </c>
      <c r="K97" s="72">
        <v>0</v>
      </c>
      <c r="L97" s="72">
        <v>0</v>
      </c>
      <c r="M97" s="155">
        <v>0</v>
      </c>
      <c r="N97" s="52" t="s">
        <v>113</v>
      </c>
      <c r="Q97" s="2"/>
    </row>
    <row r="98" spans="1:17" ht="21" x14ac:dyDescent="0.2">
      <c r="A98" s="138" t="s">
        <v>150</v>
      </c>
      <c r="B98" s="139">
        <v>7</v>
      </c>
      <c r="C98" s="263">
        <v>5285</v>
      </c>
      <c r="D98" s="27">
        <f t="shared" si="8"/>
        <v>1100</v>
      </c>
      <c r="E98" s="59">
        <v>0</v>
      </c>
      <c r="F98" s="60">
        <v>0</v>
      </c>
      <c r="G98" s="250">
        <v>1100</v>
      </c>
      <c r="H98" s="251">
        <v>0</v>
      </c>
      <c r="I98" s="241">
        <f t="shared" si="6"/>
        <v>0</v>
      </c>
      <c r="J98" s="141">
        <v>0</v>
      </c>
      <c r="K98" s="72">
        <v>0</v>
      </c>
      <c r="L98" s="72">
        <v>0</v>
      </c>
      <c r="M98" s="155">
        <v>0</v>
      </c>
      <c r="N98" s="52" t="s">
        <v>113</v>
      </c>
      <c r="Q98" s="2"/>
    </row>
    <row r="99" spans="1:17" ht="21" x14ac:dyDescent="0.2">
      <c r="A99" s="138" t="s">
        <v>151</v>
      </c>
      <c r="B99" s="139">
        <v>7</v>
      </c>
      <c r="C99" s="263">
        <v>5286</v>
      </c>
      <c r="D99" s="27">
        <f t="shared" si="8"/>
        <v>200</v>
      </c>
      <c r="E99" s="59">
        <v>0</v>
      </c>
      <c r="F99" s="60">
        <v>0</v>
      </c>
      <c r="G99" s="250">
        <v>200</v>
      </c>
      <c r="H99" s="251">
        <v>0</v>
      </c>
      <c r="I99" s="241">
        <f t="shared" si="6"/>
        <v>0</v>
      </c>
      <c r="J99" s="141">
        <v>0</v>
      </c>
      <c r="K99" s="72">
        <v>0</v>
      </c>
      <c r="L99" s="72">
        <v>0</v>
      </c>
      <c r="M99" s="155">
        <v>0</v>
      </c>
      <c r="N99" s="52" t="s">
        <v>113</v>
      </c>
      <c r="Q99" s="2"/>
    </row>
    <row r="100" spans="1:17" ht="29.25" customHeight="1" x14ac:dyDescent="0.2">
      <c r="A100" s="138" t="s">
        <v>152</v>
      </c>
      <c r="B100" s="139">
        <v>7</v>
      </c>
      <c r="C100" s="263">
        <v>5287</v>
      </c>
      <c r="D100" s="27">
        <f t="shared" si="8"/>
        <v>700</v>
      </c>
      <c r="E100" s="59">
        <v>0</v>
      </c>
      <c r="F100" s="60">
        <v>0</v>
      </c>
      <c r="G100" s="250">
        <v>700</v>
      </c>
      <c r="H100" s="251">
        <v>0</v>
      </c>
      <c r="I100" s="241">
        <f t="shared" si="6"/>
        <v>0</v>
      </c>
      <c r="J100" s="141">
        <v>0</v>
      </c>
      <c r="K100" s="72">
        <v>0</v>
      </c>
      <c r="L100" s="72">
        <v>0</v>
      </c>
      <c r="M100" s="155">
        <v>0</v>
      </c>
      <c r="N100" s="52" t="s">
        <v>113</v>
      </c>
      <c r="Q100" s="2"/>
    </row>
    <row r="101" spans="1:17" ht="29.25" customHeight="1" x14ac:dyDescent="0.2">
      <c r="A101" s="138" t="s">
        <v>154</v>
      </c>
      <c r="B101" s="139">
        <v>7</v>
      </c>
      <c r="C101" s="263">
        <v>5289</v>
      </c>
      <c r="D101" s="27">
        <f>SUM(E101+F101+G101+J101+K101+L101+M101)+470</f>
        <v>720</v>
      </c>
      <c r="E101" s="59">
        <v>0</v>
      </c>
      <c r="F101" s="60">
        <v>0</v>
      </c>
      <c r="G101" s="250">
        <v>250</v>
      </c>
      <c r="H101" s="251">
        <v>0</v>
      </c>
      <c r="I101" s="241">
        <f t="shared" si="6"/>
        <v>0</v>
      </c>
      <c r="J101" s="141">
        <v>0</v>
      </c>
      <c r="K101" s="72">
        <v>0</v>
      </c>
      <c r="L101" s="72">
        <v>0</v>
      </c>
      <c r="M101" s="155">
        <v>0</v>
      </c>
      <c r="N101" s="52" t="s">
        <v>56</v>
      </c>
      <c r="Q101" s="2"/>
    </row>
    <row r="102" spans="1:17" ht="29.25" customHeight="1" x14ac:dyDescent="0.2">
      <c r="A102" s="138" t="s">
        <v>155</v>
      </c>
      <c r="B102" s="139">
        <v>7</v>
      </c>
      <c r="C102" s="263">
        <v>5290</v>
      </c>
      <c r="D102" s="27">
        <f t="shared" si="8"/>
        <v>750</v>
      </c>
      <c r="E102" s="59">
        <v>0</v>
      </c>
      <c r="F102" s="60">
        <v>0</v>
      </c>
      <c r="G102" s="250">
        <v>750</v>
      </c>
      <c r="H102" s="251">
        <v>0</v>
      </c>
      <c r="I102" s="241">
        <f t="shared" si="6"/>
        <v>0</v>
      </c>
      <c r="J102" s="141">
        <v>0</v>
      </c>
      <c r="K102" s="72">
        <v>0</v>
      </c>
      <c r="L102" s="72">
        <v>0</v>
      </c>
      <c r="M102" s="155">
        <v>0</v>
      </c>
      <c r="N102" s="52" t="s">
        <v>113</v>
      </c>
      <c r="Q102" s="2"/>
    </row>
    <row r="103" spans="1:17" ht="29.25" customHeight="1" x14ac:dyDescent="0.2">
      <c r="A103" s="138" t="s">
        <v>156</v>
      </c>
      <c r="B103" s="139">
        <v>7</v>
      </c>
      <c r="C103" s="263">
        <v>5291</v>
      </c>
      <c r="D103" s="27">
        <f t="shared" si="8"/>
        <v>650</v>
      </c>
      <c r="E103" s="59">
        <v>0</v>
      </c>
      <c r="F103" s="60">
        <v>0</v>
      </c>
      <c r="G103" s="250">
        <v>650</v>
      </c>
      <c r="H103" s="251">
        <v>0</v>
      </c>
      <c r="I103" s="241">
        <f t="shared" si="6"/>
        <v>0</v>
      </c>
      <c r="J103" s="141">
        <v>0</v>
      </c>
      <c r="K103" s="72">
        <v>0</v>
      </c>
      <c r="L103" s="72">
        <v>0</v>
      </c>
      <c r="M103" s="155">
        <v>0</v>
      </c>
      <c r="N103" s="52" t="s">
        <v>113</v>
      </c>
      <c r="Q103" s="2"/>
    </row>
    <row r="104" spans="1:17" ht="21" x14ac:dyDescent="0.2">
      <c r="A104" s="138" t="s">
        <v>157</v>
      </c>
      <c r="B104" s="139">
        <v>7</v>
      </c>
      <c r="C104" s="263">
        <v>5292</v>
      </c>
      <c r="D104" s="27">
        <f t="shared" si="8"/>
        <v>1000</v>
      </c>
      <c r="E104" s="59">
        <v>0</v>
      </c>
      <c r="F104" s="60">
        <v>0</v>
      </c>
      <c r="G104" s="250">
        <v>1000</v>
      </c>
      <c r="H104" s="251">
        <v>0</v>
      </c>
      <c r="I104" s="241">
        <f t="shared" si="6"/>
        <v>0</v>
      </c>
      <c r="J104" s="141">
        <v>0</v>
      </c>
      <c r="K104" s="72">
        <v>0</v>
      </c>
      <c r="L104" s="72">
        <v>0</v>
      </c>
      <c r="M104" s="155">
        <v>0</v>
      </c>
      <c r="N104" s="52" t="s">
        <v>113</v>
      </c>
      <c r="Q104" s="2"/>
    </row>
    <row r="105" spans="1:17" ht="21" x14ac:dyDescent="0.2">
      <c r="A105" s="138" t="s">
        <v>158</v>
      </c>
      <c r="B105" s="139">
        <v>7</v>
      </c>
      <c r="C105" s="263">
        <v>5293</v>
      </c>
      <c r="D105" s="27">
        <f>SUM(E105+F105+G105+J105+K105+L105+M105)+250</f>
        <v>600</v>
      </c>
      <c r="E105" s="59">
        <v>0</v>
      </c>
      <c r="F105" s="60">
        <v>0</v>
      </c>
      <c r="G105" s="250">
        <v>350</v>
      </c>
      <c r="H105" s="251">
        <v>0</v>
      </c>
      <c r="I105" s="241">
        <f t="shared" si="6"/>
        <v>0</v>
      </c>
      <c r="J105" s="141">
        <v>0</v>
      </c>
      <c r="K105" s="72">
        <v>0</v>
      </c>
      <c r="L105" s="72">
        <v>0</v>
      </c>
      <c r="M105" s="155">
        <v>0</v>
      </c>
      <c r="N105" s="52" t="s">
        <v>56</v>
      </c>
      <c r="Q105" s="2"/>
    </row>
    <row r="106" spans="1:17" x14ac:dyDescent="0.2">
      <c r="A106" s="138" t="s">
        <v>159</v>
      </c>
      <c r="B106" s="139">
        <v>7</v>
      </c>
      <c r="C106" s="263">
        <v>5294</v>
      </c>
      <c r="D106" s="27">
        <f t="shared" si="8"/>
        <v>120</v>
      </c>
      <c r="E106" s="59">
        <v>0</v>
      </c>
      <c r="F106" s="60">
        <v>0</v>
      </c>
      <c r="G106" s="250">
        <v>120</v>
      </c>
      <c r="H106" s="251">
        <v>0</v>
      </c>
      <c r="I106" s="241">
        <f t="shared" si="6"/>
        <v>0</v>
      </c>
      <c r="J106" s="141">
        <v>0</v>
      </c>
      <c r="K106" s="72">
        <v>0</v>
      </c>
      <c r="L106" s="72">
        <v>0</v>
      </c>
      <c r="M106" s="155">
        <v>0</v>
      </c>
      <c r="N106" s="52" t="s">
        <v>113</v>
      </c>
      <c r="Q106" s="2"/>
    </row>
    <row r="107" spans="1:17" ht="21.75" thickBot="1" x14ac:dyDescent="0.25">
      <c r="A107" s="277" t="s">
        <v>147</v>
      </c>
      <c r="B107" s="210">
        <v>13</v>
      </c>
      <c r="C107" s="270">
        <v>8300</v>
      </c>
      <c r="D107" s="211">
        <f t="shared" si="8"/>
        <v>2250</v>
      </c>
      <c r="E107" s="59">
        <v>0</v>
      </c>
      <c r="F107" s="60">
        <v>0</v>
      </c>
      <c r="G107" s="245">
        <v>2250</v>
      </c>
      <c r="H107" s="244">
        <v>455</v>
      </c>
      <c r="I107" s="241">
        <f t="shared" si="6"/>
        <v>20.222222222222221</v>
      </c>
      <c r="J107" s="141">
        <v>0</v>
      </c>
      <c r="K107" s="72">
        <v>0</v>
      </c>
      <c r="L107" s="72">
        <v>0</v>
      </c>
      <c r="M107" s="155">
        <v>0</v>
      </c>
      <c r="N107" s="52" t="s">
        <v>113</v>
      </c>
      <c r="Q107" s="2"/>
    </row>
    <row r="108" spans="1:17" ht="15.75" customHeight="1" thickBot="1" x14ac:dyDescent="0.25">
      <c r="A108" s="208" t="s">
        <v>34</v>
      </c>
      <c r="B108" s="209"/>
      <c r="C108" s="89"/>
      <c r="D108" s="29">
        <f>SUM(D49:D107)</f>
        <v>156031.37</v>
      </c>
      <c r="E108" s="51">
        <f>SUM(E49:E107)</f>
        <v>19030</v>
      </c>
      <c r="F108" s="61">
        <f>SUM(F49:F107)</f>
        <v>12068.58</v>
      </c>
      <c r="G108" s="29">
        <f>SUM(G49:G107)</f>
        <v>107502.79000000001</v>
      </c>
      <c r="H108" s="51">
        <f>SUM(H49:H107)</f>
        <v>10476.590000000002</v>
      </c>
      <c r="I108" s="121">
        <f>H108/G108*100</f>
        <v>9.7454121888371468</v>
      </c>
      <c r="J108" s="29">
        <f>SUM(J49:J107)</f>
        <v>13600</v>
      </c>
      <c r="K108" s="29">
        <f t="shared" ref="K108:M108" si="9">SUM(K49:K107)</f>
        <v>0</v>
      </c>
      <c r="L108" s="29">
        <f t="shared" si="9"/>
        <v>0</v>
      </c>
      <c r="M108" s="29">
        <f t="shared" si="9"/>
        <v>0</v>
      </c>
      <c r="N108" s="29"/>
      <c r="Q108" s="2"/>
    </row>
    <row r="109" spans="1:17" s="3" customFormat="1" ht="15.75" customHeight="1" thickBot="1" x14ac:dyDescent="0.25">
      <c r="A109" s="190"/>
      <c r="B109" s="194"/>
      <c r="C109" s="194"/>
      <c r="D109" s="195"/>
      <c r="E109" s="195"/>
      <c r="F109" s="195"/>
      <c r="G109" s="195"/>
      <c r="H109" s="195"/>
      <c r="I109" s="196"/>
      <c r="J109" s="195"/>
      <c r="K109" s="195"/>
      <c r="L109" s="195"/>
      <c r="M109" s="195"/>
      <c r="N109" s="197"/>
      <c r="Q109" s="11"/>
    </row>
    <row r="110" spans="1:17" s="12" customFormat="1" ht="21.75" thickBot="1" x14ac:dyDescent="0.25">
      <c r="A110" s="136" t="s">
        <v>105</v>
      </c>
      <c r="B110" s="132">
        <v>10</v>
      </c>
      <c r="C110" s="257">
        <v>5221</v>
      </c>
      <c r="D110" s="133">
        <f>E110+F110+G110+J110+K110+L110+M110</f>
        <v>5676</v>
      </c>
      <c r="E110" s="134">
        <f>350+200+1341</f>
        <v>1891</v>
      </c>
      <c r="F110" s="135">
        <v>785</v>
      </c>
      <c r="G110" s="247">
        <v>1000</v>
      </c>
      <c r="H110" s="246">
        <v>0</v>
      </c>
      <c r="I110" s="118">
        <f>H110/G110*100</f>
        <v>0</v>
      </c>
      <c r="J110" s="108">
        <v>0</v>
      </c>
      <c r="K110" s="142">
        <v>1000</v>
      </c>
      <c r="L110" s="109">
        <v>0</v>
      </c>
      <c r="M110" s="142">
        <v>1000</v>
      </c>
      <c r="N110" s="131" t="s">
        <v>37</v>
      </c>
      <c r="Q110" s="18"/>
    </row>
    <row r="111" spans="1:17" ht="18" customHeight="1" thickBot="1" x14ac:dyDescent="0.25">
      <c r="A111" s="87" t="s">
        <v>104</v>
      </c>
      <c r="B111" s="88"/>
      <c r="C111" s="90"/>
      <c r="D111" s="30">
        <f>SUM(D110:D110)</f>
        <v>5676</v>
      </c>
      <c r="E111" s="30">
        <f>SUM(E110:E110)</f>
        <v>1891</v>
      </c>
      <c r="F111" s="61">
        <f>SUM(F110:F110)</f>
        <v>785</v>
      </c>
      <c r="G111" s="29">
        <f>SUM(G110:G110)</f>
        <v>1000</v>
      </c>
      <c r="H111" s="51">
        <f>SUM(H110:H110)</f>
        <v>0</v>
      </c>
      <c r="I111" s="121">
        <f>H111/G111*100</f>
        <v>0</v>
      </c>
      <c r="J111" s="29">
        <f>SUM(J110:J110)</f>
        <v>0</v>
      </c>
      <c r="K111" s="29">
        <f>SUM(K110:K110)</f>
        <v>1000</v>
      </c>
      <c r="L111" s="29">
        <f>SUM(L110:L110)</f>
        <v>0</v>
      </c>
      <c r="M111" s="29">
        <f>SUM(M110:M110)</f>
        <v>1000</v>
      </c>
      <c r="N111" s="29"/>
      <c r="Q111" s="2"/>
    </row>
    <row r="112" spans="1:17" s="12" customFormat="1" ht="15.75" customHeight="1" thickBot="1" x14ac:dyDescent="0.25">
      <c r="A112" s="190"/>
      <c r="B112" s="191"/>
      <c r="C112" s="191"/>
      <c r="D112" s="192"/>
      <c r="E112" s="192"/>
      <c r="F112" s="192"/>
      <c r="G112" s="188"/>
      <c r="H112" s="188"/>
      <c r="I112" s="191"/>
      <c r="J112" s="192"/>
      <c r="K112" s="192"/>
      <c r="L112" s="192"/>
      <c r="M112" s="192"/>
      <c r="N112" s="193"/>
      <c r="Q112" s="18"/>
    </row>
    <row r="113" spans="1:17" ht="25.5" customHeight="1" x14ac:dyDescent="0.2">
      <c r="A113" s="145" t="s">
        <v>106</v>
      </c>
      <c r="B113" s="146">
        <v>7</v>
      </c>
      <c r="C113" s="269">
        <v>4173</v>
      </c>
      <c r="D113" s="147">
        <f>E113+F113+G113+J113+K113+L113+M113</f>
        <v>47815.08</v>
      </c>
      <c r="E113" s="148">
        <f>45978+1376</f>
        <v>47354</v>
      </c>
      <c r="F113" s="149">
        <v>210</v>
      </c>
      <c r="G113" s="250">
        <v>251.08</v>
      </c>
      <c r="H113" s="251">
        <v>206.91</v>
      </c>
      <c r="I113" s="150">
        <f>H113/G113*100</f>
        <v>82.407997451011624</v>
      </c>
      <c r="J113" s="214">
        <v>0</v>
      </c>
      <c r="K113" s="98">
        <v>0</v>
      </c>
      <c r="L113" s="98">
        <v>0</v>
      </c>
      <c r="M113" s="154">
        <v>0</v>
      </c>
      <c r="N113" s="104" t="s">
        <v>113</v>
      </c>
      <c r="Q113" s="2"/>
    </row>
    <row r="114" spans="1:17" ht="25.5" customHeight="1" x14ac:dyDescent="0.2">
      <c r="A114" s="145" t="s">
        <v>120</v>
      </c>
      <c r="B114" s="146">
        <v>7</v>
      </c>
      <c r="C114" s="269">
        <v>4891</v>
      </c>
      <c r="D114" s="147">
        <f t="shared" ref="D114:D118" si="10">E114+F114+G114+J114+K114+L114+M114</f>
        <v>49316</v>
      </c>
      <c r="E114" s="148">
        <v>198</v>
      </c>
      <c r="F114" s="149">
        <v>43802</v>
      </c>
      <c r="G114" s="250">
        <v>5316</v>
      </c>
      <c r="H114" s="251">
        <v>0</v>
      </c>
      <c r="I114" s="150">
        <f>H114/G114*100</f>
        <v>0</v>
      </c>
      <c r="J114" s="160">
        <v>0</v>
      </c>
      <c r="K114" s="152">
        <v>0</v>
      </c>
      <c r="L114" s="152">
        <v>0</v>
      </c>
      <c r="M114" s="153">
        <v>0</v>
      </c>
      <c r="N114" s="156" t="s">
        <v>113</v>
      </c>
      <c r="Q114" s="2"/>
    </row>
    <row r="115" spans="1:17" ht="14.25" customHeight="1" x14ac:dyDescent="0.2">
      <c r="A115" s="32" t="s">
        <v>13</v>
      </c>
      <c r="B115" s="24">
        <v>9</v>
      </c>
      <c r="C115" s="265">
        <v>4904</v>
      </c>
      <c r="D115" s="27">
        <f t="shared" si="10"/>
        <v>4500.3900000000003</v>
      </c>
      <c r="E115" s="25">
        <v>0</v>
      </c>
      <c r="F115" s="71">
        <v>205</v>
      </c>
      <c r="G115" s="250">
        <v>4295.3900000000003</v>
      </c>
      <c r="H115" s="251">
        <v>0</v>
      </c>
      <c r="I115" s="116">
        <f t="shared" ref="I115:I132" si="11">H115/G115*100</f>
        <v>0</v>
      </c>
      <c r="J115" s="15">
        <v>0</v>
      </c>
      <c r="K115" s="6">
        <v>0</v>
      </c>
      <c r="L115" s="6">
        <v>0</v>
      </c>
      <c r="M115" s="16">
        <v>0</v>
      </c>
      <c r="N115" s="52" t="s">
        <v>37</v>
      </c>
      <c r="Q115" s="2"/>
    </row>
    <row r="116" spans="1:17" ht="28.5" customHeight="1" x14ac:dyDescent="0.2">
      <c r="A116" s="32" t="s">
        <v>0</v>
      </c>
      <c r="B116" s="24">
        <v>7</v>
      </c>
      <c r="C116" s="265">
        <v>5027</v>
      </c>
      <c r="D116" s="27">
        <f t="shared" si="10"/>
        <v>11000.28</v>
      </c>
      <c r="E116" s="25">
        <v>0</v>
      </c>
      <c r="F116" s="71">
        <v>63</v>
      </c>
      <c r="G116" s="250">
        <v>10937.28</v>
      </c>
      <c r="H116" s="251">
        <v>0</v>
      </c>
      <c r="I116" s="116">
        <f>H116/G116*100</f>
        <v>0</v>
      </c>
      <c r="J116" s="15">
        <v>0</v>
      </c>
      <c r="K116" s="9">
        <v>0</v>
      </c>
      <c r="L116" s="9">
        <v>0</v>
      </c>
      <c r="M116" s="16">
        <v>0</v>
      </c>
      <c r="N116" s="157" t="s">
        <v>37</v>
      </c>
    </row>
    <row r="117" spans="1:17" x14ac:dyDescent="0.2">
      <c r="A117" s="138" t="s">
        <v>1</v>
      </c>
      <c r="B117" s="139">
        <v>9</v>
      </c>
      <c r="C117" s="266">
        <v>5059</v>
      </c>
      <c r="D117" s="27">
        <f t="shared" si="10"/>
        <v>5599.82</v>
      </c>
      <c r="E117" s="47">
        <v>0</v>
      </c>
      <c r="F117" s="140">
        <v>4853</v>
      </c>
      <c r="G117" s="250">
        <v>746.82</v>
      </c>
      <c r="H117" s="251">
        <v>746.82</v>
      </c>
      <c r="I117" s="116">
        <f t="shared" si="11"/>
        <v>100</v>
      </c>
      <c r="J117" s="141">
        <v>0</v>
      </c>
      <c r="K117" s="142">
        <v>0</v>
      </c>
      <c r="L117" s="142">
        <v>0</v>
      </c>
      <c r="M117" s="215">
        <v>0</v>
      </c>
      <c r="N117" s="52" t="s">
        <v>37</v>
      </c>
    </row>
    <row r="118" spans="1:17" ht="42" x14ac:dyDescent="0.2">
      <c r="A118" s="32" t="s">
        <v>41</v>
      </c>
      <c r="B118" s="24">
        <v>7</v>
      </c>
      <c r="C118" s="265">
        <v>5100</v>
      </c>
      <c r="D118" s="27">
        <f t="shared" si="10"/>
        <v>278459.19</v>
      </c>
      <c r="E118" s="25">
        <v>881</v>
      </c>
      <c r="F118" s="71">
        <v>331</v>
      </c>
      <c r="G118" s="250">
        <v>31934.19</v>
      </c>
      <c r="H118" s="251">
        <v>166.95</v>
      </c>
      <c r="I118" s="116">
        <f t="shared" si="11"/>
        <v>0.52279390834713513</v>
      </c>
      <c r="J118" s="141">
        <v>5462</v>
      </c>
      <c r="K118" s="142">
        <v>5593</v>
      </c>
      <c r="L118" s="142">
        <v>5244</v>
      </c>
      <c r="M118" s="215">
        <v>229014</v>
      </c>
      <c r="N118" s="52" t="s">
        <v>64</v>
      </c>
    </row>
    <row r="119" spans="1:17" ht="21" x14ac:dyDescent="0.2">
      <c r="A119" s="138" t="s">
        <v>51</v>
      </c>
      <c r="B119" s="139">
        <v>7</v>
      </c>
      <c r="C119" s="266">
        <v>5123</v>
      </c>
      <c r="D119" s="27">
        <f>SUM(E119+F119+G119+J119+K119+L119+M119)+200</f>
        <v>8084.35</v>
      </c>
      <c r="E119" s="25">
        <v>0</v>
      </c>
      <c r="F119" s="71">
        <v>3237</v>
      </c>
      <c r="G119" s="250">
        <v>4647.3500000000004</v>
      </c>
      <c r="H119" s="251">
        <v>0</v>
      </c>
      <c r="I119" s="116">
        <f t="shared" si="11"/>
        <v>0</v>
      </c>
      <c r="J119" s="141">
        <v>0</v>
      </c>
      <c r="K119" s="142">
        <v>0</v>
      </c>
      <c r="L119" s="142">
        <v>0</v>
      </c>
      <c r="M119" s="215">
        <v>0</v>
      </c>
      <c r="N119" s="52" t="s">
        <v>58</v>
      </c>
    </row>
    <row r="120" spans="1:17" ht="21" x14ac:dyDescent="0.2">
      <c r="A120" s="138" t="s">
        <v>52</v>
      </c>
      <c r="B120" s="139">
        <v>7</v>
      </c>
      <c r="C120" s="266">
        <v>5124</v>
      </c>
      <c r="D120" s="27">
        <f t="shared" ref="D120:D129" si="12">E120+F120+G120+J120+K120+L120+M120</f>
        <v>3777</v>
      </c>
      <c r="E120" s="25">
        <v>0</v>
      </c>
      <c r="F120" s="71">
        <v>2477</v>
      </c>
      <c r="G120" s="250">
        <v>1300</v>
      </c>
      <c r="H120" s="251">
        <v>0</v>
      </c>
      <c r="I120" s="116">
        <f t="shared" si="11"/>
        <v>0</v>
      </c>
      <c r="J120" s="15">
        <v>0</v>
      </c>
      <c r="K120" s="9">
        <v>0</v>
      </c>
      <c r="L120" s="9">
        <v>0</v>
      </c>
      <c r="M120" s="16">
        <v>0</v>
      </c>
      <c r="N120" s="52" t="s">
        <v>37</v>
      </c>
    </row>
    <row r="121" spans="1:17" ht="21" x14ac:dyDescent="0.2">
      <c r="A121" s="138" t="s">
        <v>53</v>
      </c>
      <c r="B121" s="139">
        <v>7</v>
      </c>
      <c r="C121" s="266">
        <v>5125</v>
      </c>
      <c r="D121" s="27">
        <f t="shared" si="12"/>
        <v>4508.4399999999996</v>
      </c>
      <c r="E121" s="25">
        <v>0</v>
      </c>
      <c r="F121" s="71">
        <v>93</v>
      </c>
      <c r="G121" s="250">
        <v>4415.4399999999996</v>
      </c>
      <c r="H121" s="251">
        <v>434.15</v>
      </c>
      <c r="I121" s="116">
        <f t="shared" si="11"/>
        <v>9.8325421702027427</v>
      </c>
      <c r="J121" s="15">
        <v>0</v>
      </c>
      <c r="K121" s="9">
        <v>0</v>
      </c>
      <c r="L121" s="9">
        <v>0</v>
      </c>
      <c r="M121" s="16">
        <v>0</v>
      </c>
      <c r="N121" s="52" t="s">
        <v>37</v>
      </c>
    </row>
    <row r="122" spans="1:17" ht="21" x14ac:dyDescent="0.2">
      <c r="A122" s="138" t="s">
        <v>54</v>
      </c>
      <c r="B122" s="139">
        <v>9</v>
      </c>
      <c r="C122" s="266">
        <v>5162</v>
      </c>
      <c r="D122" s="27">
        <f t="shared" si="12"/>
        <v>3949</v>
      </c>
      <c r="E122" s="25">
        <v>0</v>
      </c>
      <c r="F122" s="71">
        <v>1899</v>
      </c>
      <c r="G122" s="250">
        <v>2050</v>
      </c>
      <c r="H122" s="251">
        <v>0</v>
      </c>
      <c r="I122" s="116">
        <f t="shared" si="11"/>
        <v>0</v>
      </c>
      <c r="J122" s="15">
        <v>0</v>
      </c>
      <c r="K122" s="9">
        <v>0</v>
      </c>
      <c r="L122" s="9">
        <v>0</v>
      </c>
      <c r="M122" s="16">
        <v>0</v>
      </c>
      <c r="N122" s="52" t="s">
        <v>37</v>
      </c>
    </row>
    <row r="123" spans="1:17" ht="21" x14ac:dyDescent="0.2">
      <c r="A123" s="32" t="s">
        <v>55</v>
      </c>
      <c r="B123" s="24">
        <v>7</v>
      </c>
      <c r="C123" s="265">
        <v>5178</v>
      </c>
      <c r="D123" s="28">
        <f t="shared" si="12"/>
        <v>5132.3500000000004</v>
      </c>
      <c r="E123" s="47">
        <v>0</v>
      </c>
      <c r="F123" s="140">
        <v>0</v>
      </c>
      <c r="G123" s="250">
        <v>5132.3500000000004</v>
      </c>
      <c r="H123" s="251">
        <v>0</v>
      </c>
      <c r="I123" s="116">
        <f t="shared" si="11"/>
        <v>0</v>
      </c>
      <c r="J123" s="15">
        <v>0</v>
      </c>
      <c r="K123" s="9">
        <v>0</v>
      </c>
      <c r="L123" s="9">
        <v>0</v>
      </c>
      <c r="M123" s="16">
        <v>0</v>
      </c>
      <c r="N123" s="52" t="s">
        <v>37</v>
      </c>
    </row>
    <row r="124" spans="1:17" ht="21" x14ac:dyDescent="0.2">
      <c r="A124" s="32" t="s">
        <v>107</v>
      </c>
      <c r="B124" s="24">
        <v>9</v>
      </c>
      <c r="C124" s="265">
        <v>5222</v>
      </c>
      <c r="D124" s="28">
        <f t="shared" si="12"/>
        <v>540</v>
      </c>
      <c r="E124" s="47">
        <v>0</v>
      </c>
      <c r="F124" s="140">
        <v>0</v>
      </c>
      <c r="G124" s="250">
        <v>540</v>
      </c>
      <c r="H124" s="251">
        <v>0</v>
      </c>
      <c r="I124" s="116">
        <f t="shared" si="11"/>
        <v>0</v>
      </c>
      <c r="J124" s="15">
        <v>0</v>
      </c>
      <c r="K124" s="9">
        <v>0</v>
      </c>
      <c r="L124" s="9">
        <v>0</v>
      </c>
      <c r="M124" s="16">
        <v>0</v>
      </c>
      <c r="N124" s="52" t="s">
        <v>37</v>
      </c>
    </row>
    <row r="125" spans="1:17" ht="21" x14ac:dyDescent="0.2">
      <c r="A125" s="32" t="s">
        <v>108</v>
      </c>
      <c r="B125" s="24">
        <v>7</v>
      </c>
      <c r="C125" s="265">
        <v>5238</v>
      </c>
      <c r="D125" s="28">
        <f t="shared" si="12"/>
        <v>8800</v>
      </c>
      <c r="E125" s="47">
        <v>0</v>
      </c>
      <c r="F125" s="140">
        <v>0</v>
      </c>
      <c r="G125" s="250">
        <v>8800</v>
      </c>
      <c r="H125" s="251">
        <v>1460.89</v>
      </c>
      <c r="I125" s="116">
        <f t="shared" si="11"/>
        <v>16.601022727272728</v>
      </c>
      <c r="J125" s="15">
        <v>0</v>
      </c>
      <c r="K125" s="9">
        <v>0</v>
      </c>
      <c r="L125" s="9">
        <v>0</v>
      </c>
      <c r="M125" s="16">
        <v>0</v>
      </c>
      <c r="N125" s="52" t="s">
        <v>37</v>
      </c>
    </row>
    <row r="126" spans="1:17" ht="21" x14ac:dyDescent="0.2">
      <c r="A126" s="32" t="s">
        <v>109</v>
      </c>
      <c r="B126" s="24">
        <v>7</v>
      </c>
      <c r="C126" s="265">
        <v>5239</v>
      </c>
      <c r="D126" s="28">
        <f t="shared" si="12"/>
        <v>1500</v>
      </c>
      <c r="E126" s="47">
        <v>0</v>
      </c>
      <c r="F126" s="140">
        <v>0</v>
      </c>
      <c r="G126" s="250">
        <v>1500</v>
      </c>
      <c r="H126" s="251">
        <v>0</v>
      </c>
      <c r="I126" s="116">
        <f t="shared" si="11"/>
        <v>0</v>
      </c>
      <c r="J126" s="15">
        <v>0</v>
      </c>
      <c r="K126" s="9">
        <v>0</v>
      </c>
      <c r="L126" s="9">
        <v>0</v>
      </c>
      <c r="M126" s="16">
        <v>0</v>
      </c>
      <c r="N126" s="52" t="s">
        <v>37</v>
      </c>
    </row>
    <row r="127" spans="1:17" ht="21" x14ac:dyDescent="0.2">
      <c r="A127" s="32" t="s">
        <v>110</v>
      </c>
      <c r="B127" s="24">
        <v>7</v>
      </c>
      <c r="C127" s="265">
        <v>5240</v>
      </c>
      <c r="D127" s="28">
        <f t="shared" si="12"/>
        <v>1700</v>
      </c>
      <c r="E127" s="47">
        <v>0</v>
      </c>
      <c r="F127" s="140">
        <v>0</v>
      </c>
      <c r="G127" s="250">
        <v>1700</v>
      </c>
      <c r="H127" s="251">
        <v>98.01</v>
      </c>
      <c r="I127" s="116">
        <f t="shared" si="11"/>
        <v>5.7652941176470591</v>
      </c>
      <c r="J127" s="15">
        <v>0</v>
      </c>
      <c r="K127" s="9">
        <v>0</v>
      </c>
      <c r="L127" s="9">
        <v>0</v>
      </c>
      <c r="M127" s="16">
        <v>0</v>
      </c>
      <c r="N127" s="52" t="s">
        <v>37</v>
      </c>
    </row>
    <row r="128" spans="1:17" ht="21" x14ac:dyDescent="0.2">
      <c r="A128" s="32" t="s">
        <v>111</v>
      </c>
      <c r="B128" s="24">
        <v>9</v>
      </c>
      <c r="C128" s="265">
        <v>5251</v>
      </c>
      <c r="D128" s="28">
        <f t="shared" si="12"/>
        <v>945</v>
      </c>
      <c r="E128" s="47">
        <v>0</v>
      </c>
      <c r="F128" s="140">
        <v>0</v>
      </c>
      <c r="G128" s="250">
        <v>945</v>
      </c>
      <c r="H128" s="251">
        <v>690.98</v>
      </c>
      <c r="I128" s="116">
        <f t="shared" si="11"/>
        <v>73.119576719576713</v>
      </c>
      <c r="J128" s="15">
        <v>0</v>
      </c>
      <c r="K128" s="9">
        <v>0</v>
      </c>
      <c r="L128" s="9">
        <v>0</v>
      </c>
      <c r="M128" s="16">
        <v>0</v>
      </c>
      <c r="N128" s="52" t="s">
        <v>37</v>
      </c>
    </row>
    <row r="129" spans="1:17" x14ac:dyDescent="0.2">
      <c r="A129" s="138" t="s">
        <v>112</v>
      </c>
      <c r="B129" s="139">
        <v>7</v>
      </c>
      <c r="C129" s="266">
        <v>5252</v>
      </c>
      <c r="D129" s="28">
        <f t="shared" si="12"/>
        <v>176.89</v>
      </c>
      <c r="E129" s="47">
        <v>0</v>
      </c>
      <c r="F129" s="140">
        <v>0</v>
      </c>
      <c r="G129" s="250">
        <v>176.89</v>
      </c>
      <c r="H129" s="251">
        <v>176.887</v>
      </c>
      <c r="I129" s="116">
        <f t="shared" si="11"/>
        <v>99.998304030753587</v>
      </c>
      <c r="J129" s="141">
        <v>0</v>
      </c>
      <c r="K129" s="142">
        <v>0</v>
      </c>
      <c r="L129" s="142">
        <v>0</v>
      </c>
      <c r="M129" s="215">
        <v>0</v>
      </c>
      <c r="N129" s="226" t="s">
        <v>37</v>
      </c>
    </row>
    <row r="130" spans="1:17" ht="21" x14ac:dyDescent="0.2">
      <c r="A130" s="32" t="s">
        <v>141</v>
      </c>
      <c r="B130" s="24">
        <v>7</v>
      </c>
      <c r="C130" s="265">
        <v>5277</v>
      </c>
      <c r="D130" s="28">
        <f>E130+F130+G130+J130+K130+L130+M130+250</f>
        <v>9034</v>
      </c>
      <c r="E130" s="47">
        <v>0</v>
      </c>
      <c r="F130" s="140">
        <v>0</v>
      </c>
      <c r="G130" s="250">
        <v>8784</v>
      </c>
      <c r="H130" s="251">
        <v>0</v>
      </c>
      <c r="I130" s="116">
        <f t="shared" si="11"/>
        <v>0</v>
      </c>
      <c r="J130" s="15">
        <v>0</v>
      </c>
      <c r="K130" s="9">
        <v>0</v>
      </c>
      <c r="L130" s="9">
        <v>0</v>
      </c>
      <c r="M130" s="16">
        <v>0</v>
      </c>
      <c r="N130" s="52" t="s">
        <v>58</v>
      </c>
    </row>
    <row r="131" spans="1:17" ht="21" x14ac:dyDescent="0.2">
      <c r="A131" s="32" t="s">
        <v>142</v>
      </c>
      <c r="B131" s="24">
        <v>9</v>
      </c>
      <c r="C131" s="265">
        <v>5278</v>
      </c>
      <c r="D131" s="28">
        <f>E131+F131+G131+J131+K131+L131+M131</f>
        <v>5000</v>
      </c>
      <c r="E131" s="47">
        <v>0</v>
      </c>
      <c r="F131" s="140">
        <v>0</v>
      </c>
      <c r="G131" s="250">
        <v>5000</v>
      </c>
      <c r="H131" s="251">
        <v>0</v>
      </c>
      <c r="I131" s="116">
        <f t="shared" si="11"/>
        <v>0</v>
      </c>
      <c r="J131" s="15">
        <v>0</v>
      </c>
      <c r="K131" s="9">
        <v>0</v>
      </c>
      <c r="L131" s="9">
        <v>0</v>
      </c>
      <c r="M131" s="16">
        <v>0</v>
      </c>
      <c r="N131" s="52" t="s">
        <v>37</v>
      </c>
    </row>
    <row r="132" spans="1:17" ht="21.75" thickBot="1" x14ac:dyDescent="0.25">
      <c r="A132" s="32" t="s">
        <v>143</v>
      </c>
      <c r="B132" s="24">
        <v>7</v>
      </c>
      <c r="C132" s="265">
        <v>5279</v>
      </c>
      <c r="D132" s="28">
        <f>E132+F132+G132+J132+K132+L132+M132</f>
        <v>1900</v>
      </c>
      <c r="E132" s="47">
        <v>0</v>
      </c>
      <c r="F132" s="140">
        <v>0</v>
      </c>
      <c r="G132" s="250">
        <v>1900</v>
      </c>
      <c r="H132" s="251">
        <v>0</v>
      </c>
      <c r="I132" s="116">
        <f t="shared" si="11"/>
        <v>0</v>
      </c>
      <c r="J132" s="15">
        <v>0</v>
      </c>
      <c r="K132" s="9">
        <v>0</v>
      </c>
      <c r="L132" s="9">
        <v>0</v>
      </c>
      <c r="M132" s="16">
        <v>0</v>
      </c>
      <c r="N132" s="52" t="s">
        <v>37</v>
      </c>
    </row>
    <row r="133" spans="1:17" ht="15.75" customHeight="1" thickBot="1" x14ac:dyDescent="0.25">
      <c r="A133" s="87" t="s">
        <v>35</v>
      </c>
      <c r="B133" s="88"/>
      <c r="C133" s="90"/>
      <c r="D133" s="158">
        <f>SUM(D113:D132)</f>
        <v>451737.79</v>
      </c>
      <c r="E133" s="158">
        <f>SUM(E113:E132)</f>
        <v>48433</v>
      </c>
      <c r="F133" s="212">
        <f>SUM(F113:F132)</f>
        <v>57170</v>
      </c>
      <c r="G133" s="158">
        <f>SUM(G113:G132)</f>
        <v>100371.79</v>
      </c>
      <c r="H133" s="213">
        <f>SUM(H113:H132)</f>
        <v>3981.5970000000007</v>
      </c>
      <c r="I133" s="117">
        <f>H133/G133*100</f>
        <v>3.9668486533915566</v>
      </c>
      <c r="J133" s="29">
        <f>SUM(J113:J132)</f>
        <v>5462</v>
      </c>
      <c r="K133" s="29">
        <f>SUM(K113:K132)</f>
        <v>5593</v>
      </c>
      <c r="L133" s="29">
        <f>SUM(L113:L132)</f>
        <v>5244</v>
      </c>
      <c r="M133" s="29">
        <f>SUM(M113:M132)</f>
        <v>229014</v>
      </c>
      <c r="N133" s="29"/>
      <c r="Q133" s="2"/>
    </row>
    <row r="134" spans="1:17" s="3" customFormat="1" ht="15.75" customHeight="1" thickBot="1" x14ac:dyDescent="0.25">
      <c r="A134" s="198"/>
      <c r="B134" s="199"/>
      <c r="C134" s="199"/>
      <c r="D134" s="200"/>
      <c r="E134" s="200"/>
      <c r="F134" s="200"/>
      <c r="G134" s="200"/>
      <c r="H134" s="200"/>
      <c r="I134" s="176"/>
      <c r="J134" s="200"/>
      <c r="K134" s="200"/>
      <c r="L134" s="200"/>
      <c r="M134" s="200"/>
      <c r="N134" s="177"/>
      <c r="Q134" s="11"/>
    </row>
    <row r="135" spans="1:17" s="12" customFormat="1" ht="42.75" thickBot="1" x14ac:dyDescent="0.25">
      <c r="A135" s="136" t="s">
        <v>44</v>
      </c>
      <c r="B135" s="132"/>
      <c r="C135" s="257">
        <v>5057</v>
      </c>
      <c r="D135" s="133">
        <f>E135+F135+G135+J135+K135+L135+M135</f>
        <v>197498</v>
      </c>
      <c r="E135" s="134">
        <v>246</v>
      </c>
      <c r="F135" s="135">
        <v>19076</v>
      </c>
      <c r="G135" s="247">
        <v>20904</v>
      </c>
      <c r="H135" s="246">
        <v>18568.82</v>
      </c>
      <c r="I135" s="258">
        <f>H135/G135*100</f>
        <v>88.829027937236887</v>
      </c>
      <c r="J135" s="216">
        <v>19589</v>
      </c>
      <c r="K135" s="217">
        <v>19529</v>
      </c>
      <c r="L135" s="218">
        <v>19529</v>
      </c>
      <c r="M135" s="219">
        <v>98625</v>
      </c>
      <c r="N135" s="159" t="s">
        <v>160</v>
      </c>
      <c r="Q135" s="18"/>
    </row>
    <row r="136" spans="1:17" ht="18" customHeight="1" thickBot="1" x14ac:dyDescent="0.25">
      <c r="A136" s="87" t="s">
        <v>63</v>
      </c>
      <c r="B136" s="88"/>
      <c r="C136" s="90"/>
      <c r="D136" s="30">
        <f>D135</f>
        <v>197498</v>
      </c>
      <c r="E136" s="30">
        <f>E135</f>
        <v>246</v>
      </c>
      <c r="F136" s="30">
        <f>F135</f>
        <v>19076</v>
      </c>
      <c r="G136" s="30">
        <f>G135</f>
        <v>20904</v>
      </c>
      <c r="H136" s="30">
        <f>H135</f>
        <v>18568.82</v>
      </c>
      <c r="I136" s="117">
        <f>H136/G136*100</f>
        <v>88.829027937236887</v>
      </c>
      <c r="J136" s="29">
        <f>SUM(J135)</f>
        <v>19589</v>
      </c>
      <c r="K136" s="29">
        <f>SUM(K135)</f>
        <v>19529</v>
      </c>
      <c r="L136" s="61">
        <f>SUM(L135)</f>
        <v>19529</v>
      </c>
      <c r="M136" s="29">
        <f>SUM(M135)</f>
        <v>98625</v>
      </c>
      <c r="N136" s="29"/>
      <c r="Q136" s="2"/>
    </row>
    <row r="137" spans="1:17" s="12" customFormat="1" ht="15.75" customHeight="1" thickBot="1" x14ac:dyDescent="0.25">
      <c r="A137" s="198"/>
      <c r="B137" s="201"/>
      <c r="C137" s="201"/>
      <c r="D137" s="202"/>
      <c r="E137" s="202"/>
      <c r="F137" s="202"/>
      <c r="G137" s="166"/>
      <c r="H137" s="166"/>
      <c r="I137" s="201"/>
      <c r="J137" s="202"/>
      <c r="K137" s="202"/>
      <c r="L137" s="202"/>
      <c r="M137" s="202"/>
      <c r="N137" s="203"/>
      <c r="Q137" s="18"/>
    </row>
    <row r="138" spans="1:17" ht="31.5" x14ac:dyDescent="0.2">
      <c r="A138" s="74" t="s">
        <v>2</v>
      </c>
      <c r="B138" s="75">
        <v>7</v>
      </c>
      <c r="C138" s="260">
        <v>4077</v>
      </c>
      <c r="D138" s="94">
        <f t="shared" ref="D138:D144" si="13">E138+F138+G138+J138+K138+L138+M138</f>
        <v>7888.38</v>
      </c>
      <c r="E138" s="95">
        <v>0</v>
      </c>
      <c r="F138" s="96">
        <v>83.65</v>
      </c>
      <c r="G138" s="248">
        <v>454.73</v>
      </c>
      <c r="H138" s="249">
        <v>112.53</v>
      </c>
      <c r="I138" s="240">
        <f>H138/G138*100</f>
        <v>24.746552899522793</v>
      </c>
      <c r="J138" s="97">
        <v>7350</v>
      </c>
      <c r="K138" s="98">
        <v>0</v>
      </c>
      <c r="L138" s="98">
        <v>0</v>
      </c>
      <c r="M138" s="99">
        <v>0</v>
      </c>
      <c r="N138" s="100" t="s">
        <v>161</v>
      </c>
      <c r="Q138" s="2"/>
    </row>
    <row r="139" spans="1:17" ht="21" x14ac:dyDescent="0.2">
      <c r="A139" s="76" t="s">
        <v>21</v>
      </c>
      <c r="B139" s="77">
        <v>5</v>
      </c>
      <c r="C139" s="273">
        <v>6125</v>
      </c>
      <c r="D139" s="27">
        <f t="shared" si="13"/>
        <v>8049</v>
      </c>
      <c r="E139" s="48">
        <v>0</v>
      </c>
      <c r="F139" s="26">
        <v>4153</v>
      </c>
      <c r="G139" s="250">
        <v>3896</v>
      </c>
      <c r="H139" s="251">
        <v>2749.12</v>
      </c>
      <c r="I139" s="241">
        <f t="shared" ref="I139:I144" si="14">H139/G139*100</f>
        <v>70.562628336755637</v>
      </c>
      <c r="J139" s="25">
        <v>0</v>
      </c>
      <c r="K139" s="6">
        <v>0</v>
      </c>
      <c r="L139" s="6">
        <v>0</v>
      </c>
      <c r="M139" s="85">
        <v>0</v>
      </c>
      <c r="N139" s="83" t="s">
        <v>117</v>
      </c>
      <c r="Q139" s="2"/>
    </row>
    <row r="140" spans="1:17" ht="21" x14ac:dyDescent="0.2">
      <c r="A140" s="76" t="s">
        <v>22</v>
      </c>
      <c r="B140" s="77">
        <v>5</v>
      </c>
      <c r="C140" s="273">
        <v>6119</v>
      </c>
      <c r="D140" s="27">
        <f t="shared" si="13"/>
        <v>1257</v>
      </c>
      <c r="E140" s="48">
        <v>0</v>
      </c>
      <c r="F140" s="26">
        <v>65</v>
      </c>
      <c r="G140" s="250">
        <v>1192</v>
      </c>
      <c r="H140" s="251">
        <v>1181.99</v>
      </c>
      <c r="I140" s="241">
        <f t="shared" si="14"/>
        <v>99.160234899328856</v>
      </c>
      <c r="J140" s="25">
        <v>0</v>
      </c>
      <c r="K140" s="6">
        <v>0</v>
      </c>
      <c r="L140" s="6">
        <v>0</v>
      </c>
      <c r="M140" s="85">
        <v>0</v>
      </c>
      <c r="N140" s="83" t="s">
        <v>162</v>
      </c>
      <c r="Q140" s="2"/>
    </row>
    <row r="141" spans="1:17" x14ac:dyDescent="0.2">
      <c r="A141" s="76" t="s">
        <v>23</v>
      </c>
      <c r="B141" s="77">
        <v>5</v>
      </c>
      <c r="C141" s="273">
        <v>6111</v>
      </c>
      <c r="D141" s="27">
        <f t="shared" si="13"/>
        <v>3453</v>
      </c>
      <c r="E141" s="48">
        <v>0</v>
      </c>
      <c r="F141" s="26">
        <v>913</v>
      </c>
      <c r="G141" s="250">
        <v>2540</v>
      </c>
      <c r="H141" s="251">
        <v>0</v>
      </c>
      <c r="I141" s="241">
        <f t="shared" si="14"/>
        <v>0</v>
      </c>
      <c r="J141" s="25">
        <v>0</v>
      </c>
      <c r="K141" s="6">
        <v>0</v>
      </c>
      <c r="L141" s="6">
        <v>0</v>
      </c>
      <c r="M141" s="85">
        <v>0</v>
      </c>
      <c r="N141" s="83" t="s">
        <v>114</v>
      </c>
      <c r="Q141" s="2"/>
    </row>
    <row r="142" spans="1:17" x14ac:dyDescent="0.2">
      <c r="A142" s="76" t="s">
        <v>24</v>
      </c>
      <c r="B142" s="77">
        <v>2</v>
      </c>
      <c r="C142" s="273">
        <v>6121</v>
      </c>
      <c r="D142" s="27">
        <f t="shared" si="13"/>
        <v>691</v>
      </c>
      <c r="E142" s="48">
        <v>0</v>
      </c>
      <c r="F142" s="26">
        <v>461</v>
      </c>
      <c r="G142" s="250">
        <v>230</v>
      </c>
      <c r="H142" s="251">
        <v>0</v>
      </c>
      <c r="I142" s="241">
        <f t="shared" si="14"/>
        <v>0</v>
      </c>
      <c r="J142" s="25">
        <v>0</v>
      </c>
      <c r="K142" s="6">
        <v>0</v>
      </c>
      <c r="L142" s="6">
        <v>0</v>
      </c>
      <c r="M142" s="85">
        <v>0</v>
      </c>
      <c r="N142" s="84" t="s">
        <v>26</v>
      </c>
      <c r="Q142" s="2"/>
    </row>
    <row r="143" spans="1:17" x14ac:dyDescent="0.2">
      <c r="A143" s="76" t="s">
        <v>25</v>
      </c>
      <c r="B143" s="77">
        <v>2</v>
      </c>
      <c r="C143" s="273">
        <v>6122</v>
      </c>
      <c r="D143" s="27">
        <f t="shared" si="13"/>
        <v>2439</v>
      </c>
      <c r="E143" s="48">
        <v>0</v>
      </c>
      <c r="F143" s="26">
        <v>1759</v>
      </c>
      <c r="G143" s="250">
        <v>680</v>
      </c>
      <c r="H143" s="251">
        <v>0</v>
      </c>
      <c r="I143" s="241">
        <f t="shared" si="14"/>
        <v>0</v>
      </c>
      <c r="J143" s="25">
        <v>0</v>
      </c>
      <c r="K143" s="6">
        <v>0</v>
      </c>
      <c r="L143" s="6">
        <v>0</v>
      </c>
      <c r="M143" s="85">
        <v>0</v>
      </c>
      <c r="N143" s="84" t="s">
        <v>115</v>
      </c>
      <c r="Q143" s="2"/>
    </row>
    <row r="144" spans="1:17" ht="12" customHeight="1" thickBot="1" x14ac:dyDescent="0.25">
      <c r="A144" s="78" t="s">
        <v>6</v>
      </c>
      <c r="B144" s="79">
        <v>2</v>
      </c>
      <c r="C144" s="274">
        <v>6123</v>
      </c>
      <c r="D144" s="28">
        <f t="shared" si="13"/>
        <v>8125</v>
      </c>
      <c r="E144" s="80">
        <v>0</v>
      </c>
      <c r="F144" s="60">
        <v>3425</v>
      </c>
      <c r="G144" s="245">
        <v>4700</v>
      </c>
      <c r="H144" s="244">
        <v>0</v>
      </c>
      <c r="I144" s="272">
        <f t="shared" si="14"/>
        <v>0</v>
      </c>
      <c r="J144" s="47">
        <v>0</v>
      </c>
      <c r="K144" s="72">
        <v>0</v>
      </c>
      <c r="L144" s="72">
        <v>0</v>
      </c>
      <c r="M144" s="86">
        <v>0</v>
      </c>
      <c r="N144" s="101" t="s">
        <v>116</v>
      </c>
      <c r="Q144" s="2"/>
    </row>
    <row r="145" spans="1:17" ht="36" customHeight="1" thickBot="1" x14ac:dyDescent="0.25">
      <c r="A145" s="91" t="s">
        <v>36</v>
      </c>
      <c r="B145" s="92"/>
      <c r="C145" s="93"/>
      <c r="D145" s="30">
        <f>SUM(D138:D144)</f>
        <v>31902.38</v>
      </c>
      <c r="E145" s="29">
        <f>SUM(E138:E144)</f>
        <v>0</v>
      </c>
      <c r="F145" s="63">
        <f>SUM(F138:F144)</f>
        <v>10859.65</v>
      </c>
      <c r="G145" s="243">
        <f>SUM(G138:G144)</f>
        <v>13692.73</v>
      </c>
      <c r="H145" s="275">
        <f>SUM(H138:H144)</f>
        <v>4043.6400000000003</v>
      </c>
      <c r="I145" s="117">
        <f>H145/G145*100</f>
        <v>29.5312914225286</v>
      </c>
      <c r="J145" s="29">
        <f>SUM(J138:J144)</f>
        <v>7350</v>
      </c>
      <c r="K145" s="29">
        <f>SUM(K138:K144)</f>
        <v>0</v>
      </c>
      <c r="L145" s="63">
        <f>SUM(L138:L144)</f>
        <v>0</v>
      </c>
      <c r="M145" s="29">
        <f>SUM(M138:M144)</f>
        <v>0</v>
      </c>
      <c r="N145" s="51"/>
      <c r="Q145" s="2"/>
    </row>
    <row r="146" spans="1:17" s="14" customFormat="1" ht="12" thickBot="1" x14ac:dyDescent="0.25">
      <c r="A146" s="179"/>
      <c r="B146" s="39"/>
      <c r="C146" s="39"/>
      <c r="G146" s="188"/>
      <c r="H146" s="166"/>
      <c r="I146" s="204"/>
      <c r="J146" s="12"/>
      <c r="M146" s="180"/>
      <c r="N146" s="180"/>
      <c r="Q146" s="18"/>
    </row>
    <row r="147" spans="1:17" ht="15.75" customHeight="1" thickBot="1" x14ac:dyDescent="0.25">
      <c r="A147" s="87" t="s">
        <v>7</v>
      </c>
      <c r="B147" s="88"/>
      <c r="C147" s="90"/>
      <c r="D147" s="29">
        <f>SUM(D17+D21+D29+D47+D108+D133+D145+D136+D9+D33+D111)</f>
        <v>1696270.9</v>
      </c>
      <c r="E147" s="29">
        <f>SUM(E17+E21+E29+E47+E108+E133+E145+E136+E9+E33+E111)</f>
        <v>96482</v>
      </c>
      <c r="F147" s="29">
        <f>SUM(F17+F21+F29+F47+F108+F133+F145+F136+F9+F33+F111)</f>
        <v>238008.50999999998</v>
      </c>
      <c r="G147" s="29">
        <f>SUM(G17+G21+G29+G47+G108+G133+G145+G136+G9+G33+G111)</f>
        <v>425957.38999999996</v>
      </c>
      <c r="H147" s="29">
        <f>SUM(H17+H21+H29+H47+H108+H133+H145+H136+H9+H33+H111)</f>
        <v>56935.617000000006</v>
      </c>
      <c r="I147" s="121">
        <f>H147/G147*100</f>
        <v>13.366505274154303</v>
      </c>
      <c r="J147" s="29">
        <f>SUM(J17+J21+J29+J47+J108+J133+J145+J136+J9+J33+J111)</f>
        <v>46501</v>
      </c>
      <c r="K147" s="29">
        <f>SUM(K17+K21+K29+K47+K108+K133+K145+K136+K9+K33+K111)</f>
        <v>226122</v>
      </c>
      <c r="L147" s="29">
        <f>SUM(L17+L21+L29+L47+L108+L133+L145+L136+L9+L33+L111)</f>
        <v>227273</v>
      </c>
      <c r="M147" s="29">
        <f>SUM(M17+M21+M29+M47+M108+M133+M145+M136+M9+M33+M111)</f>
        <v>418639</v>
      </c>
      <c r="N147" s="51"/>
      <c r="Q147" s="2"/>
    </row>
    <row r="148" spans="1:17" x14ac:dyDescent="0.2">
      <c r="Q148" s="2"/>
    </row>
    <row r="149" spans="1:17" x14ac:dyDescent="0.2">
      <c r="Q149" s="2"/>
    </row>
    <row r="150" spans="1:17" x14ac:dyDescent="0.2">
      <c r="D150" s="7"/>
      <c r="E150" s="7"/>
      <c r="F150" s="7"/>
      <c r="G150" s="7"/>
      <c r="H150" s="7"/>
      <c r="I150" s="122"/>
      <c r="J150" s="17"/>
      <c r="K150" s="7"/>
      <c r="L150" s="7"/>
      <c r="M150" s="7"/>
      <c r="Q150" s="2"/>
    </row>
    <row r="151" spans="1:17" x14ac:dyDescent="0.2">
      <c r="D151" s="2"/>
      <c r="E151" s="2"/>
      <c r="F151" s="2"/>
      <c r="H151" s="2"/>
      <c r="I151" s="123"/>
      <c r="J151" s="11"/>
      <c r="K151" s="2"/>
      <c r="L151" s="2"/>
      <c r="M151" s="2"/>
      <c r="Q151" s="2"/>
    </row>
    <row r="152" spans="1:17" x14ac:dyDescent="0.2">
      <c r="D152" s="2"/>
      <c r="E152" s="2"/>
      <c r="F152" s="2"/>
      <c r="H152" s="2"/>
      <c r="I152" s="123"/>
      <c r="J152" s="11"/>
      <c r="K152" s="2"/>
      <c r="L152" s="2"/>
      <c r="M152" s="2"/>
      <c r="N152" s="46"/>
      <c r="Q152" s="2"/>
    </row>
    <row r="153" spans="1:17" x14ac:dyDescent="0.2">
      <c r="D153" s="2"/>
      <c r="E153" s="2"/>
      <c r="F153" s="2"/>
      <c r="H153" s="2"/>
      <c r="I153" s="123"/>
      <c r="J153" s="11"/>
      <c r="K153" s="2"/>
      <c r="L153" s="2"/>
      <c r="M153" s="2"/>
    </row>
    <row r="154" spans="1:17" ht="12.75" x14ac:dyDescent="0.2">
      <c r="A154" s="20"/>
      <c r="B154" s="21"/>
      <c r="C154" s="21"/>
      <c r="D154" s="2"/>
      <c r="E154" s="2"/>
      <c r="F154" s="2"/>
      <c r="H154" s="2"/>
      <c r="I154" s="123"/>
      <c r="J154" s="11"/>
      <c r="K154" s="2"/>
      <c r="L154" s="2"/>
      <c r="M154" s="2"/>
    </row>
    <row r="155" spans="1:17" ht="15" x14ac:dyDescent="0.2">
      <c r="A155" s="297"/>
      <c r="B155" s="297"/>
      <c r="C155" s="297"/>
      <c r="D155" s="297"/>
      <c r="E155" s="297"/>
      <c r="F155" s="2"/>
      <c r="H155" s="2"/>
      <c r="I155" s="123"/>
      <c r="J155" s="11"/>
      <c r="K155" s="2"/>
      <c r="L155" s="2"/>
      <c r="M155" s="2"/>
    </row>
    <row r="156" spans="1:17" ht="12.75" x14ac:dyDescent="0.2">
      <c r="A156" s="20"/>
      <c r="B156" s="21"/>
      <c r="C156" s="21"/>
      <c r="D156" s="2"/>
      <c r="E156" s="2"/>
      <c r="F156" s="2"/>
      <c r="H156" s="2"/>
      <c r="I156" s="123"/>
      <c r="J156" s="11"/>
      <c r="K156" s="2"/>
      <c r="L156" s="2"/>
      <c r="M156" s="2"/>
    </row>
    <row r="157" spans="1:17" ht="12.75" x14ac:dyDescent="0.2">
      <c r="A157" s="20"/>
      <c r="B157" s="21"/>
      <c r="C157" s="21"/>
      <c r="D157" s="2"/>
      <c r="E157" s="2"/>
      <c r="F157" s="2"/>
      <c r="H157" s="2"/>
      <c r="I157" s="123"/>
      <c r="J157" s="11"/>
      <c r="K157" s="2"/>
      <c r="L157" s="2"/>
      <c r="M157" s="2"/>
    </row>
    <row r="158" spans="1:17" ht="12.75" x14ac:dyDescent="0.2">
      <c r="A158" s="295"/>
      <c r="B158" s="33"/>
      <c r="C158" s="34"/>
      <c r="D158" s="36"/>
      <c r="E158" s="36"/>
      <c r="F158" s="2"/>
      <c r="H158" s="2"/>
      <c r="I158" s="123"/>
      <c r="J158" s="11"/>
      <c r="K158" s="2"/>
      <c r="L158" s="2"/>
      <c r="M158" s="2"/>
    </row>
    <row r="159" spans="1:17" s="3" customFormat="1" ht="12.75" x14ac:dyDescent="0.2">
      <c r="A159" s="296"/>
      <c r="B159" s="37"/>
      <c r="C159" s="35"/>
      <c r="D159" s="38"/>
      <c r="E159" s="38"/>
      <c r="F159" s="11"/>
      <c r="G159" s="11"/>
      <c r="H159" s="11"/>
      <c r="I159" s="123"/>
      <c r="J159" s="11"/>
      <c r="K159" s="11"/>
      <c r="L159" s="11"/>
      <c r="M159" s="11"/>
    </row>
    <row r="160" spans="1:17" ht="12.75" x14ac:dyDescent="0.2">
      <c r="A160" s="14"/>
      <c r="B160" s="33"/>
      <c r="C160" s="14"/>
      <c r="D160" s="18"/>
      <c r="E160" s="18"/>
      <c r="F160" s="2"/>
      <c r="H160" s="2"/>
      <c r="I160" s="123"/>
      <c r="J160" s="11"/>
      <c r="K160" s="2"/>
      <c r="L160" s="2"/>
      <c r="M160" s="2"/>
    </row>
    <row r="161" spans="1:13" x14ac:dyDescent="0.2">
      <c r="A161" s="14"/>
      <c r="B161" s="39"/>
      <c r="C161" s="39"/>
      <c r="D161" s="18"/>
      <c r="E161" s="18"/>
      <c r="F161" s="2"/>
      <c r="H161" s="2"/>
      <c r="I161" s="123"/>
      <c r="J161" s="11"/>
      <c r="K161" s="2"/>
      <c r="L161" s="2"/>
      <c r="M161" s="2"/>
    </row>
    <row r="162" spans="1:13" x14ac:dyDescent="0.2">
      <c r="A162" s="14"/>
      <c r="B162" s="39"/>
      <c r="C162" s="39"/>
      <c r="D162" s="18"/>
      <c r="E162" s="18"/>
      <c r="F162" s="2"/>
      <c r="H162" s="2"/>
      <c r="I162" s="123"/>
      <c r="J162" s="11"/>
      <c r="K162" s="2"/>
      <c r="L162" s="2"/>
      <c r="M162" s="2"/>
    </row>
    <row r="163" spans="1:13" x14ac:dyDescent="0.2">
      <c r="A163" s="14"/>
      <c r="B163" s="39"/>
      <c r="C163" s="39"/>
      <c r="D163" s="18"/>
      <c r="E163" s="18"/>
      <c r="F163" s="2"/>
      <c r="H163" s="2"/>
      <c r="I163" s="123"/>
      <c r="J163" s="11"/>
      <c r="K163" s="2"/>
      <c r="L163" s="2"/>
      <c r="M163" s="2"/>
    </row>
    <row r="164" spans="1:13" x14ac:dyDescent="0.2">
      <c r="A164" s="14"/>
      <c r="B164" s="39"/>
      <c r="C164" s="39"/>
      <c r="D164" s="18"/>
      <c r="E164" s="18"/>
      <c r="F164" s="2"/>
      <c r="H164" s="2"/>
      <c r="I164" s="123"/>
      <c r="J164" s="11"/>
      <c r="K164" s="2"/>
      <c r="L164" s="2"/>
      <c r="M164" s="2"/>
    </row>
    <row r="165" spans="1:13" x14ac:dyDescent="0.2">
      <c r="A165" s="40"/>
      <c r="B165" s="39"/>
      <c r="C165" s="39"/>
      <c r="D165" s="18"/>
      <c r="E165" s="18"/>
      <c r="F165" s="2"/>
      <c r="H165" s="2"/>
      <c r="I165" s="123"/>
      <c r="J165" s="11"/>
      <c r="K165" s="2"/>
      <c r="L165" s="2"/>
      <c r="M165" s="2"/>
    </row>
    <row r="166" spans="1:13" x14ac:dyDescent="0.2">
      <c r="A166" s="14"/>
      <c r="B166" s="39"/>
      <c r="C166" s="39"/>
      <c r="D166" s="18"/>
      <c r="E166" s="18"/>
      <c r="F166" s="2"/>
      <c r="H166" s="2"/>
      <c r="I166" s="123"/>
      <c r="J166" s="11"/>
      <c r="K166" s="2"/>
      <c r="L166" s="2"/>
      <c r="M166" s="2"/>
    </row>
    <row r="167" spans="1:13" x14ac:dyDescent="0.2">
      <c r="A167" s="41"/>
      <c r="B167" s="42"/>
      <c r="C167" s="42"/>
      <c r="D167" s="43"/>
      <c r="E167" s="43"/>
      <c r="F167" s="2"/>
      <c r="H167" s="2"/>
      <c r="I167" s="123"/>
      <c r="J167" s="11"/>
      <c r="K167" s="2"/>
      <c r="L167" s="2"/>
      <c r="M167" s="2"/>
    </row>
    <row r="168" spans="1:13" x14ac:dyDescent="0.2">
      <c r="A168" s="14"/>
      <c r="B168" s="39"/>
      <c r="C168" s="39"/>
      <c r="D168" s="18"/>
      <c r="E168" s="18"/>
      <c r="F168" s="2"/>
      <c r="H168" s="2"/>
      <c r="I168" s="123"/>
      <c r="J168" s="11"/>
      <c r="K168" s="2"/>
      <c r="L168" s="2"/>
      <c r="M168" s="2"/>
    </row>
    <row r="169" spans="1:13" x14ac:dyDescent="0.2">
      <c r="A169" s="14"/>
      <c r="B169" s="39"/>
      <c r="C169" s="39"/>
      <c r="D169" s="18"/>
      <c r="E169" s="18"/>
      <c r="F169" s="2"/>
      <c r="H169" s="2"/>
      <c r="I169" s="123"/>
      <c r="J169" s="11"/>
      <c r="K169" s="2"/>
      <c r="L169" s="2"/>
      <c r="M169" s="2"/>
    </row>
    <row r="170" spans="1:13" x14ac:dyDescent="0.2">
      <c r="A170" s="14"/>
      <c r="B170" s="39"/>
      <c r="C170" s="39"/>
      <c r="D170" s="18"/>
      <c r="E170" s="18"/>
      <c r="F170" s="2"/>
      <c r="H170" s="2"/>
      <c r="I170" s="123"/>
      <c r="J170" s="11"/>
      <c r="K170" s="2"/>
      <c r="L170" s="2"/>
      <c r="M170" s="2"/>
    </row>
    <row r="171" spans="1:13" x14ac:dyDescent="0.2">
      <c r="A171" s="14"/>
      <c r="B171" s="39"/>
      <c r="C171" s="39"/>
      <c r="D171" s="18"/>
      <c r="E171" s="18"/>
      <c r="F171" s="2"/>
      <c r="H171" s="2"/>
      <c r="I171" s="123"/>
      <c r="J171" s="11"/>
      <c r="K171" s="2"/>
      <c r="L171" s="2"/>
      <c r="M171" s="2"/>
    </row>
    <row r="172" spans="1:13" x14ac:dyDescent="0.2">
      <c r="D172" s="2"/>
      <c r="E172" s="2"/>
      <c r="F172" s="2"/>
      <c r="H172" s="2"/>
      <c r="I172" s="123"/>
      <c r="J172" s="11"/>
      <c r="K172" s="2"/>
      <c r="L172" s="2"/>
      <c r="M172" s="2"/>
    </row>
    <row r="173" spans="1:13" x14ac:dyDescent="0.2">
      <c r="D173" s="2"/>
      <c r="E173" s="2"/>
      <c r="F173" s="2"/>
      <c r="H173" s="2"/>
      <c r="I173" s="123"/>
      <c r="J173" s="11"/>
      <c r="K173" s="2"/>
      <c r="L173" s="2"/>
      <c r="M173" s="2"/>
    </row>
    <row r="174" spans="1:13" x14ac:dyDescent="0.2">
      <c r="D174" s="2"/>
      <c r="E174" s="2"/>
      <c r="F174" s="2"/>
      <c r="H174" s="2"/>
      <c r="I174" s="123"/>
      <c r="J174" s="11"/>
      <c r="K174" s="2"/>
      <c r="L174" s="2"/>
      <c r="M174" s="2"/>
    </row>
    <row r="175" spans="1:13" x14ac:dyDescent="0.2">
      <c r="D175" s="2"/>
      <c r="E175" s="2"/>
      <c r="F175" s="2"/>
      <c r="H175" s="2"/>
      <c r="I175" s="123"/>
      <c r="J175" s="11"/>
      <c r="K175" s="2"/>
      <c r="L175" s="2"/>
      <c r="M175" s="2"/>
    </row>
    <row r="176" spans="1:13" x14ac:dyDescent="0.2">
      <c r="D176" s="2"/>
      <c r="E176" s="2"/>
      <c r="F176" s="2"/>
      <c r="H176" s="2"/>
      <c r="I176" s="123"/>
      <c r="J176" s="11"/>
      <c r="K176" s="2"/>
      <c r="L176" s="2"/>
      <c r="M176" s="2"/>
    </row>
    <row r="177" spans="4:13" x14ac:dyDescent="0.2">
      <c r="D177" s="2"/>
      <c r="E177" s="2"/>
      <c r="F177" s="2"/>
      <c r="H177" s="2"/>
      <c r="I177" s="123"/>
      <c r="J177" s="11"/>
      <c r="K177" s="2"/>
      <c r="L177" s="2"/>
      <c r="M177" s="2"/>
    </row>
    <row r="178" spans="4:13" x14ac:dyDescent="0.2">
      <c r="D178" s="2"/>
      <c r="E178" s="2"/>
      <c r="F178" s="2"/>
      <c r="H178" s="2"/>
      <c r="I178" s="123"/>
      <c r="J178" s="11"/>
      <c r="K178" s="2"/>
      <c r="L178" s="2"/>
      <c r="M178" s="2"/>
    </row>
  </sheetData>
  <customSheetViews>
    <customSheetView guid="{85224DBB-F537-4833-B955-8E5DC2BA7C74}" scale="82" showPageBreaks="1" printArea="1" hiddenRows="1" hiddenColumns="1" view="pageBreakPreview">
      <pane xSplit="4" ySplit="6" topLeftCell="E7" activePane="bottomRight" state="frozen"/>
      <selection pane="bottomRight" activeCell="A8" sqref="A8"/>
      <rowBreaks count="2" manualBreakCount="2">
        <brk id="111" max="13" man="1"/>
        <brk id="147" max="13" man="1"/>
      </rowBreaks>
      <pageMargins left="0.15748031496062992" right="0.15748031496062992" top="0.15748031496062992" bottom="0.39370078740157483" header="0.15748031496062992" footer="0.15748031496062992"/>
      <printOptions horizontalCentered="1"/>
      <pageSetup paperSize="9" scale="68" fitToWidth="0" fitToHeight="0" orientation="landscape" useFirstPageNumber="1" r:id="rId1"/>
      <headerFooter alignWithMargins="0">
        <oddFooter>&amp;C&amp;P</oddFooter>
      </headerFooter>
    </customSheetView>
    <customSheetView guid="{823FBF4D-F534-4D2F-BA65-6798D330A384}" scale="90" showPageBreaks="1" printArea="1" hiddenRows="1" hiddenColumns="1" view="pageBreakPreview" showRuler="0">
      <pane xSplit="4" ySplit="11" topLeftCell="E12" activePane="bottomRight" state="frozen"/>
      <selection pane="bottomRight" activeCell="D59" sqref="D59"/>
      <rowBreaks count="5" manualBreakCount="5">
        <brk id="44" max="13" man="1"/>
        <brk id="76" max="13" man="1"/>
        <brk id="106" max="13" man="1"/>
        <brk id="139" max="13" man="1"/>
        <brk id="172" max="13" man="1"/>
      </rowBreaks>
      <pageMargins left="0.23622047244094491" right="0.15748031496062992" top="0.15748031496062992" bottom="0.59055118110236227" header="0.15748031496062992" footer="0.15748031496062992"/>
      <printOptions horizontalCentered="1"/>
      <pageSetup paperSize="9" scale="70" fitToWidth="0" fitToHeight="0" orientation="landscape" useFirstPageNumber="1" r:id="rId2"/>
      <headerFooter alignWithMargins="0">
        <oddFooter>&amp;C&amp;P</oddFooter>
      </headerFooter>
    </customSheetView>
    <customSheetView guid="{891ECA22-A5C6-47DB-BD95-B0BDF265796A}" scale="90" showPageBreaks="1" printArea="1" hiddenRows="1" hiddenColumns="1" view="pageBreakPreview" showRuler="0">
      <pane xSplit="4" ySplit="11" topLeftCell="E12" activePane="bottomRight" state="frozen"/>
      <selection pane="bottomRight" activeCell="D59" sqref="D59"/>
      <rowBreaks count="5" manualBreakCount="5">
        <brk id="44" max="13" man="1"/>
        <brk id="76" max="13" man="1"/>
        <brk id="106" max="13" man="1"/>
        <brk id="139" max="13" man="1"/>
        <brk id="172" max="13" man="1"/>
      </rowBreaks>
      <pageMargins left="0.23622047244094491" right="0.15748031496062992" top="0.15748031496062992" bottom="0.59055118110236227" header="0.15748031496062992" footer="0.15748031496062992"/>
      <printOptions horizontalCentered="1"/>
      <pageSetup paperSize="9" scale="70" fitToWidth="0" fitToHeight="0" orientation="landscape" useFirstPageNumber="1" r:id="rId3"/>
      <headerFooter alignWithMargins="0">
        <oddFooter>&amp;C&amp;P</oddFooter>
      </headerFooter>
    </customSheetView>
  </customSheetViews>
  <mergeCells count="14">
    <mergeCell ref="A158:A159"/>
    <mergeCell ref="A155:E155"/>
    <mergeCell ref="A4:A6"/>
    <mergeCell ref="D4:D6"/>
    <mergeCell ref="E4:F5"/>
    <mergeCell ref="B4:B6"/>
    <mergeCell ref="C4:C6"/>
    <mergeCell ref="H4:H5"/>
    <mergeCell ref="I4:I5"/>
    <mergeCell ref="G6:I6"/>
    <mergeCell ref="A3:N3"/>
    <mergeCell ref="N4:N6"/>
    <mergeCell ref="J4:M5"/>
    <mergeCell ref="G4:G5"/>
  </mergeCells>
  <phoneticPr fontId="0" type="noConversion"/>
  <printOptions horizontalCentered="1"/>
  <pageMargins left="0.15748031496062992" right="0.15748031496062992" top="0.15748031496062992" bottom="0.39370078740157483" header="0.15748031496062992" footer="0.15748031496062992"/>
  <pageSetup paperSize="9" scale="68" fitToWidth="0" fitToHeight="0" orientation="landscape" useFirstPageNumber="1" r:id="rId4"/>
  <headerFooter alignWithMargins="0">
    <oddFooter>&amp;C&amp;P</oddFooter>
  </headerFooter>
  <rowBreaks count="2" manualBreakCount="2">
    <brk id="111" max="13" man="1"/>
    <brk id="14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Přehled RMK a závazků</vt:lpstr>
      <vt:lpstr>'Přehled RMK a závazků'!Názvy_tisku</vt:lpstr>
      <vt:lpstr>'Přehled RMK a závazků'!Oblast_tisku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valova2304</dc:creator>
  <cp:lastModifiedBy>Slívová Galina</cp:lastModifiedBy>
  <cp:lastPrinted>2014-08-27T07:45:54Z</cp:lastPrinted>
  <dcterms:created xsi:type="dcterms:W3CDTF">2010-01-20T06:33:25Z</dcterms:created>
  <dcterms:modified xsi:type="dcterms:W3CDTF">2014-08-27T08:28:14Z</dcterms:modified>
</cp:coreProperties>
</file>