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9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5/13-MAT do ZK/2MAT do ZK-pro Babku a na FV/"/>
    </mc:Choice>
  </mc:AlternateContent>
  <xr:revisionPtr revIDLastSave="1934" documentId="8_{E7F90F53-9612-4AD0-B7FF-F04272D2DDCB}" xr6:coauthVersionLast="47" xr6:coauthVersionMax="47" xr10:uidLastSave="{E9D36E87-C1C3-4AC0-9103-FC4967FC767D}"/>
  <bookViews>
    <workbookView xWindow="-120" yWindow="-120" windowWidth="29040" windowHeight="15840" tabRatio="903" xr2:uid="{00000000-000D-0000-FFFF-FFFF00000000}"/>
  </bookViews>
  <sheets>
    <sheet name="OBSAH" sheetId="2" r:id="rId1"/>
    <sheet name="Dotační programy" sheetId="25" r:id="rId2"/>
    <sheet name="Individuální dotace" sheetId="50" r:id="rId3"/>
    <sheet name="Akce reprodukce majetku kraje" sheetId="49" r:id="rId4"/>
    <sheet name="Akce spoluf. z evr.fin.zdrojů" sheetId="46" r:id="rId5"/>
    <sheet name="Akce fin. z úvěrových zdrojů" sheetId="47" r:id="rId6"/>
    <sheet name="Přehled příjmů 2025" sheetId="45" r:id="rId7"/>
    <sheet name="Graf 1. Rozpočet 2021-2025" sheetId="9" r:id="rId8"/>
    <sheet name="Zdrojová data I.s" sheetId="10" state="hidden" r:id="rId9"/>
    <sheet name="Graf 2. Příjmy 2019-2023" sheetId="11" state="hidden" r:id="rId10"/>
    <sheet name="Graf 3. Výdaje B+K 2019-2023" sheetId="12" state="hidden" r:id="rId11"/>
    <sheet name="Zdrojová data II. a III. s" sheetId="13" state="hidden" r:id="rId12"/>
    <sheet name="Graf 2. Příjmy 2025" sheetId="14" r:id="rId13"/>
    <sheet name="Zdrojová data IV." sheetId="15" state="hidden" r:id="rId14"/>
    <sheet name="Graf 3. Výdaje 2025" sheetId="16" r:id="rId15"/>
    <sheet name="Graf 4. Výdaje EU 2025" sheetId="17" r:id="rId16"/>
    <sheet name="Zdrojová data V.a VI." sheetId="18" state="hidden" r:id="rId17"/>
  </sheets>
  <externalReferences>
    <externalReference r:id="rId18"/>
    <externalReference r:id="rId19"/>
  </externalReferences>
  <definedNames>
    <definedName name="_xlnm._FilterDatabase" localSheetId="5" hidden="1">'Akce fin. z úvěrových zdrojů'!$A$4:$M$73</definedName>
    <definedName name="_xlnm._FilterDatabase" localSheetId="3" hidden="1">'Akce reprodukce majetku kraje'!$A$3:$Q$203</definedName>
    <definedName name="_xlnm._FilterDatabase" localSheetId="6" hidden="1">'Přehled příjmů 2025'!$A$19:$D$53</definedName>
    <definedName name="DF_GRID_1" localSheetId="5">#REF!</definedName>
    <definedName name="DF_GRID_1" localSheetId="3">#REF!</definedName>
    <definedName name="DF_GRID_1" localSheetId="4">#REF!</definedName>
    <definedName name="DF_GRID_1" localSheetId="6">#REF!</definedName>
    <definedName name="DF_GRID_1">#REF!</definedName>
    <definedName name="DF_GRID_2" localSheetId="5">#REF!</definedName>
    <definedName name="DF_GRID_2" localSheetId="3">#REF!</definedName>
    <definedName name="DF_GRID_2" localSheetId="4">#REF!</definedName>
    <definedName name="DF_GRID_2">#REF!</definedName>
    <definedName name="DF_GRID_3" localSheetId="5">#REF!</definedName>
    <definedName name="DF_GRID_3" localSheetId="3">#REF!</definedName>
    <definedName name="DF_GRID_3" localSheetId="4">#REF!</definedName>
    <definedName name="DF_GRID_3">#REF!</definedName>
    <definedName name="j">#REF!</definedName>
    <definedName name="kurz" localSheetId="5">[1]rozhodnutí!$N$31</definedName>
    <definedName name="kurz" localSheetId="3">[2]rozhodnutí!$N$31</definedName>
    <definedName name="kurz" localSheetId="6">[2]rozhodnutí!$N$31</definedName>
    <definedName name="kurz">[1]rozhodnutí!$N$31</definedName>
    <definedName name="kurz2">#REF!</definedName>
    <definedName name="_xlnm.Print_Titles" localSheetId="5">'Akce fin. z úvěrových zdrojů'!$2:$4</definedName>
    <definedName name="_xlnm.Print_Titles" localSheetId="3">'Akce reprodukce majetku kraje'!$3:$4</definedName>
    <definedName name="_xlnm.Print_Titles" localSheetId="4">'Akce spoluf. z evr.fin.zdrojů'!$2:$4</definedName>
    <definedName name="_xlnm.Print_Titles" localSheetId="1">'Dotační programy'!$2:$2</definedName>
    <definedName name="_xlnm.Print_Titles" localSheetId="2">'Individuální dotace'!$2:$2</definedName>
    <definedName name="_xlnm.Print_Titles" localSheetId="6">'Přehled příjmů 2025'!$4:$4</definedName>
    <definedName name="_xlnm.Print_Area" localSheetId="5">'Akce fin. z úvěrových zdrojů'!$A$1:$J$81</definedName>
    <definedName name="_xlnm.Print_Area" localSheetId="3">'Akce reprodukce majetku kraje'!$A$1:$Q$203</definedName>
    <definedName name="_xlnm.Print_Area" localSheetId="1">'Dotační programy'!$A$1:$G$80</definedName>
    <definedName name="_xlnm.Print_Area" localSheetId="2">'Individuální dotace'!$A$1:$G$95</definedName>
    <definedName name="_xlnm.Print_Area" localSheetId="6">'Přehled příjmů 2025'!$A$1:$D$147</definedName>
    <definedName name="SAPBEXhrIndnt" hidden="1">"Wide"</definedName>
    <definedName name="SAPsysID" hidden="1">"708C5W7SBKP804JT78WJ0JNKI"</definedName>
    <definedName name="SAPwbID" hidden="1">"ARS"</definedName>
    <definedName name="Z_14FC9820_EF8C_4D55_8881_D5E51DC559B3_.wvu.Cols" localSheetId="1" hidden="1">'Dotační programy'!#REF!</definedName>
    <definedName name="Z_14FC9820_EF8C_4D55_8881_D5E51DC559B3_.wvu.Cols" localSheetId="2" hidden="1">'Individuální dotace'!#REF!</definedName>
    <definedName name="Z_632980EE_AB4F_49FA_B8D9_C4F0628108CE_.wvu.Cols" localSheetId="8" hidden="1">'Zdrojová data I.s'!$B:$E</definedName>
    <definedName name="Z_632980EE_AB4F_49FA_B8D9_C4F0628108CE_.wvu.Cols" localSheetId="11" hidden="1">'Zdrojová data II. a III. s'!$B:$E</definedName>
    <definedName name="Z_632980EE_AB4F_49FA_B8D9_C4F0628108CE_.wvu.Cols" localSheetId="13" hidden="1">'Zdrojová data IV.'!$B:$I</definedName>
    <definedName name="Z_632980EE_AB4F_49FA_B8D9_C4F0628108CE_.wvu.Cols" localSheetId="16" hidden="1">'Zdrojová data V.a VI.'!$B:$I</definedName>
    <definedName name="Z_632980EE_AB4F_49FA_B8D9_C4F0628108CE_.wvu.Rows" localSheetId="8" hidden="1">'Zdrojová data I.s'!$17:$31</definedName>
    <definedName name="Z_632980EE_AB4F_49FA_B8D9_C4F0628108CE_.wvu.Rows" localSheetId="16" hidden="1">'Zdrojová data V.a VI.'!$11:$11,'Zdrojová data V.a VI.'!#REF!</definedName>
    <definedName name="Z_8135008D_FA09_47D0_A3D6_431443FF0074_.wvu.PrintArea" localSheetId="1" hidden="1">'Dotační programy'!$A$1:$G$80</definedName>
    <definedName name="Z_8135008D_FA09_47D0_A3D6_431443FF0074_.wvu.PrintArea" localSheetId="2" hidden="1">'Individuální dotace'!$A$1:$G$95</definedName>
    <definedName name="Z_816DCA7E_FC41_44AE_85AF_FE12F0BC4BE0_.wvu.PrintArea" localSheetId="1" hidden="1">'Dotační programy'!$A$1:$G$80</definedName>
    <definedName name="Z_816DCA7E_FC41_44AE_85AF_FE12F0BC4BE0_.wvu.PrintArea" localSheetId="2" hidden="1">'Individuální dotace'!$A$1:$G$95</definedName>
    <definedName name="Z_8DF5934D_271D_4996_8FBD_8BBE47175559_.wvu.Cols" localSheetId="8" hidden="1">'Zdrojová data I.s'!$B:$E</definedName>
    <definedName name="Z_8DF5934D_271D_4996_8FBD_8BBE47175559_.wvu.Cols" localSheetId="11" hidden="1">'Zdrojová data II. a III. s'!$B:$E</definedName>
    <definedName name="Z_8DF5934D_271D_4996_8FBD_8BBE47175559_.wvu.Cols" localSheetId="13" hidden="1">'Zdrojová data IV.'!$B:$M</definedName>
    <definedName name="Z_8DF5934D_271D_4996_8FBD_8BBE47175559_.wvu.Cols" localSheetId="16" hidden="1">'Zdrojová data V.a VI.'!$B:$M</definedName>
    <definedName name="Z_8DF5934D_271D_4996_8FBD_8BBE47175559_.wvu.PrintArea" localSheetId="1" hidden="1">'Dotační programy'!$A$1:$G$80</definedName>
    <definedName name="Z_8DF5934D_271D_4996_8FBD_8BBE47175559_.wvu.PrintArea" localSheetId="2" hidden="1">'Individuální dotace'!$A$1:$G$95</definedName>
    <definedName name="Z_8DF5934D_271D_4996_8FBD_8BBE47175559_.wvu.Rows" localSheetId="8" hidden="1">'Zdrojová data I.s'!$17:$31</definedName>
    <definedName name="Z_8DF5934D_271D_4996_8FBD_8BBE47175559_.wvu.Rows" localSheetId="16" hidden="1">'Zdrojová data V.a VI.'!$11:$11,'Zdrojová data V.a VI.'!#REF!</definedName>
    <definedName name="Z_AE6F0D81_F630_472F_8BD4_EE2E1E40DF28_.wvu.PrintArea" localSheetId="1" hidden="1">'Dotační programy'!$A$1:$G$80</definedName>
    <definedName name="Z_AE6F0D81_F630_472F_8BD4_EE2E1E40DF28_.wvu.PrintArea" localSheetId="2" hidden="1">'Individuální dotace'!$A$1:$G$95</definedName>
    <definedName name="Z_AF65B0D2_A89B_4D75_B4AE_5BFEE1615BA9_.wvu.PrintArea" localSheetId="1" hidden="1">'Dotační programy'!$A$1:$G$80</definedName>
    <definedName name="Z_AF65B0D2_A89B_4D75_B4AE_5BFEE1615BA9_.wvu.PrintArea" localSheetId="2" hidden="1">'Individuální dotace'!$A$1:$G$95</definedName>
    <definedName name="Z_C49FCFC9_CF51_484E_9F6E_E5FACC7A48A4_.wvu.Cols" localSheetId="1" hidden="1">'Dotační programy'!#REF!</definedName>
    <definedName name="Z_C49FCFC9_CF51_484E_9F6E_E5FACC7A48A4_.wvu.Cols" localSheetId="2" hidden="1">'Individuální dotace'!#REF!</definedName>
    <definedName name="Z_EFAD90BE_EFFB_4F0D_9A95_6915124B8751_.wvu.Cols" localSheetId="8" hidden="1">'Zdrojová data I.s'!$B:$E</definedName>
    <definedName name="Z_EFAD90BE_EFFB_4F0D_9A95_6915124B8751_.wvu.Cols" localSheetId="11" hidden="1">'Zdrojová data II. a III. s'!$B:$E</definedName>
    <definedName name="Z_EFAD90BE_EFFB_4F0D_9A95_6915124B8751_.wvu.Cols" localSheetId="13" hidden="1">'Zdrojová data IV.'!$B:$M</definedName>
    <definedName name="Z_EFAD90BE_EFFB_4F0D_9A95_6915124B8751_.wvu.Cols" localSheetId="16" hidden="1">'Zdrojová data V.a VI.'!$B:$M</definedName>
    <definedName name="Z_EFAD90BE_EFFB_4F0D_9A95_6915124B8751_.wvu.Rows" localSheetId="8" hidden="1">'Zdrojová data I.s'!$17:$31</definedName>
    <definedName name="Z_EFAD90BE_EFFB_4F0D_9A95_6915124B8751_.wvu.Rows" localSheetId="16" hidden="1">'Zdrojová data V.a VI.'!$11:$11,'Zdrojová data V.a VI.'!#REF!</definedName>
    <definedName name="Z_F55F3396_F003_4C77_BF1B_160F1F658C4B_.wvu.Cols" localSheetId="1" hidden="1">'Dotační programy'!#REF!</definedName>
    <definedName name="Z_F55F3396_F003_4C77_BF1B_160F1F658C4B_.wvu.Cols" localSheetId="2" hidden="1">'Individuální dotace'!#REF!</definedName>
    <definedName name="Z_F55F3396_F003_4C77_BF1B_160F1F658C4B_.wvu.PrintArea" localSheetId="1" hidden="1">'Dotační programy'!$B$1:$H$80</definedName>
    <definedName name="Z_F55F3396_F003_4C77_BF1B_160F1F658C4B_.wvu.PrintArea" localSheetId="2" hidden="1">'Individuální dotace'!$B$1:$H$95</definedName>
    <definedName name="Z_FE857634_B83D_4669_BE72_6E5297B7F9FE_.wvu.Rows" localSheetId="8" hidden="1">'Zdrojová data I.s'!$17:$31</definedName>
    <definedName name="Z_FFF09864_B75B_45CC_8A23_7ED56E2D3858_.wvu.PrintArea" localSheetId="1" hidden="1">'Dotační programy'!$A$1:$G$80</definedName>
    <definedName name="Z_FFF09864_B75B_45CC_8A23_7ED56E2D3858_.wvu.PrintArea" localSheetId="2" hidden="1">'Individuální dotace'!$A$1:$G$95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50" l="1"/>
  <c r="D64" i="50"/>
  <c r="C64" i="50" l="1"/>
  <c r="F94" i="50"/>
  <c r="F79" i="50"/>
  <c r="E79" i="50"/>
  <c r="E94" i="50" s="1"/>
  <c r="D79" i="50"/>
  <c r="D94" i="50" s="1"/>
  <c r="C79" i="50"/>
  <c r="C94" i="50" s="1"/>
  <c r="G94" i="50" s="1"/>
  <c r="C77" i="50"/>
  <c r="G78" i="50"/>
  <c r="G74" i="50" l="1"/>
  <c r="G63" i="50"/>
  <c r="F54" i="50"/>
  <c r="E54" i="50"/>
  <c r="D54" i="50"/>
  <c r="C54" i="50"/>
  <c r="F34" i="50"/>
  <c r="F87" i="50" s="1"/>
  <c r="E34" i="50"/>
  <c r="E87" i="50" s="1"/>
  <c r="D34" i="50"/>
  <c r="D87" i="50" s="1"/>
  <c r="C34" i="50"/>
  <c r="C87" i="50" s="1"/>
  <c r="F22" i="50"/>
  <c r="F85" i="50" s="1"/>
  <c r="E22" i="50"/>
  <c r="E85" i="50" s="1"/>
  <c r="D22" i="50"/>
  <c r="D85" i="50" s="1"/>
  <c r="C22" i="50"/>
  <c r="C85" i="50" s="1"/>
  <c r="G21" i="50"/>
  <c r="F64" i="50"/>
  <c r="G62" i="50"/>
  <c r="G61" i="50"/>
  <c r="G60" i="50"/>
  <c r="G59" i="50"/>
  <c r="G44" i="50"/>
  <c r="G43" i="50"/>
  <c r="G42" i="50"/>
  <c r="G41" i="50"/>
  <c r="G9" i="50"/>
  <c r="G38" i="50"/>
  <c r="G37" i="50"/>
  <c r="G36" i="50"/>
  <c r="G35" i="50"/>
  <c r="G32" i="50"/>
  <c r="F31" i="50"/>
  <c r="C31" i="50"/>
  <c r="G27" i="50"/>
  <c r="G29" i="50"/>
  <c r="G28" i="50"/>
  <c r="G26" i="50"/>
  <c r="G87" i="50" l="1"/>
  <c r="G85" i="50"/>
  <c r="G34" i="50"/>
  <c r="G20" i="50" l="1"/>
  <c r="G19" i="50"/>
  <c r="G18" i="50"/>
  <c r="G17" i="50"/>
  <c r="G16" i="50"/>
  <c r="G15" i="50"/>
  <c r="G14" i="50"/>
  <c r="G13" i="50"/>
  <c r="G12" i="50"/>
  <c r="G7" i="50"/>
  <c r="F10" i="50"/>
  <c r="F84" i="50" s="1"/>
  <c r="E10" i="50"/>
  <c r="E84" i="50" s="1"/>
  <c r="C10" i="50"/>
  <c r="C84" i="50" s="1"/>
  <c r="D10" i="50"/>
  <c r="D84" i="50" s="1"/>
  <c r="G6" i="50"/>
  <c r="G5" i="50"/>
  <c r="G11" i="50"/>
  <c r="F77" i="50"/>
  <c r="E77" i="50"/>
  <c r="D77" i="50"/>
  <c r="G73" i="50"/>
  <c r="G72" i="50"/>
  <c r="G71" i="50"/>
  <c r="G70" i="50"/>
  <c r="F69" i="50"/>
  <c r="F92" i="50" s="1"/>
  <c r="E69" i="50"/>
  <c r="E92" i="50" s="1"/>
  <c r="D69" i="50"/>
  <c r="D92" i="50" s="1"/>
  <c r="C69" i="50"/>
  <c r="G67" i="50"/>
  <c r="G66" i="50"/>
  <c r="G65" i="50"/>
  <c r="F91" i="50"/>
  <c r="E91" i="50"/>
  <c r="D91" i="50"/>
  <c r="C91" i="50"/>
  <c r="G58" i="50"/>
  <c r="G57" i="50"/>
  <c r="G55" i="50"/>
  <c r="F90" i="50"/>
  <c r="E90" i="50"/>
  <c r="D90" i="50"/>
  <c r="C90" i="50"/>
  <c r="G52" i="50"/>
  <c r="G51" i="50"/>
  <c r="G50" i="50"/>
  <c r="G49" i="50"/>
  <c r="G48" i="50"/>
  <c r="G47" i="50"/>
  <c r="F46" i="50"/>
  <c r="F89" i="50" s="1"/>
  <c r="C46" i="50"/>
  <c r="C89" i="50" s="1"/>
  <c r="G45" i="50"/>
  <c r="E46" i="50"/>
  <c r="E89" i="50" s="1"/>
  <c r="D46" i="50"/>
  <c r="D89" i="50" s="1"/>
  <c r="F40" i="50"/>
  <c r="C40" i="50"/>
  <c r="C88" i="50" s="1"/>
  <c r="G39" i="50"/>
  <c r="E40" i="50"/>
  <c r="E88" i="50" s="1"/>
  <c r="D40" i="50"/>
  <c r="D88" i="50" s="1"/>
  <c r="E31" i="50"/>
  <c r="E86" i="50" s="1"/>
  <c r="C86" i="50"/>
  <c r="D31" i="50"/>
  <c r="D86" i="50" s="1"/>
  <c r="G25" i="50"/>
  <c r="G24" i="50"/>
  <c r="G23" i="50"/>
  <c r="F4" i="50"/>
  <c r="F83" i="50" s="1"/>
  <c r="E4" i="50"/>
  <c r="E83" i="50" s="1"/>
  <c r="D4" i="50"/>
  <c r="D83" i="50" s="1"/>
  <c r="C4" i="50"/>
  <c r="C83" i="50" s="1"/>
  <c r="G3" i="50"/>
  <c r="P201" i="49"/>
  <c r="O201" i="49"/>
  <c r="N201" i="49"/>
  <c r="N203" i="49" s="1"/>
  <c r="M201" i="49"/>
  <c r="L201" i="49"/>
  <c r="K201" i="49"/>
  <c r="J201" i="49"/>
  <c r="J203" i="49" s="1"/>
  <c r="I201" i="49"/>
  <c r="H200" i="49"/>
  <c r="H199" i="49"/>
  <c r="H201" i="49" s="1"/>
  <c r="P197" i="49"/>
  <c r="O197" i="49"/>
  <c r="N197" i="49"/>
  <c r="M197" i="49"/>
  <c r="M203" i="49" s="1"/>
  <c r="L197" i="49"/>
  <c r="K197" i="49"/>
  <c r="J197" i="49"/>
  <c r="H196" i="49"/>
  <c r="H195" i="49"/>
  <c r="I194" i="49"/>
  <c r="H194" i="49" s="1"/>
  <c r="H193" i="49"/>
  <c r="H192" i="49"/>
  <c r="H191" i="49"/>
  <c r="H190" i="49"/>
  <c r="H189" i="49"/>
  <c r="H188" i="49"/>
  <c r="H187" i="49"/>
  <c r="H186" i="49"/>
  <c r="H185" i="49"/>
  <c r="H184" i="49"/>
  <c r="H183" i="49"/>
  <c r="H182" i="49"/>
  <c r="H181" i="49"/>
  <c r="H180" i="49"/>
  <c r="H179" i="49"/>
  <c r="H178" i="49"/>
  <c r="H177" i="49"/>
  <c r="H176" i="49"/>
  <c r="H175" i="49"/>
  <c r="H174" i="49"/>
  <c r="H173" i="49"/>
  <c r="P171" i="49"/>
  <c r="O171" i="49"/>
  <c r="O203" i="49" s="1"/>
  <c r="N171" i="49"/>
  <c r="M171" i="49"/>
  <c r="L171" i="49"/>
  <c r="K171" i="49"/>
  <c r="J171" i="49"/>
  <c r="I171" i="49"/>
  <c r="H170" i="49"/>
  <c r="H169" i="49"/>
  <c r="H168" i="49"/>
  <c r="H167" i="49"/>
  <c r="H166" i="49"/>
  <c r="H165" i="49"/>
  <c r="H164" i="49"/>
  <c r="H163" i="49"/>
  <c r="H162" i="49"/>
  <c r="H161" i="49"/>
  <c r="H160" i="49"/>
  <c r="H159" i="49"/>
  <c r="H158" i="49"/>
  <c r="H157" i="49"/>
  <c r="H156" i="49"/>
  <c r="H155" i="49"/>
  <c r="H154" i="49"/>
  <c r="H153" i="49"/>
  <c r="H152" i="49"/>
  <c r="H151" i="49"/>
  <c r="H150" i="49"/>
  <c r="H149" i="49"/>
  <c r="H148" i="49"/>
  <c r="H147" i="49"/>
  <c r="H146" i="49"/>
  <c r="H145" i="49"/>
  <c r="H144" i="49"/>
  <c r="H143" i="49"/>
  <c r="H142" i="49"/>
  <c r="H141" i="49"/>
  <c r="H140" i="49"/>
  <c r="H139" i="49"/>
  <c r="H138" i="49"/>
  <c r="H137" i="49"/>
  <c r="H136" i="49"/>
  <c r="H135" i="49"/>
  <c r="H134" i="49"/>
  <c r="H133" i="49"/>
  <c r="H132" i="49"/>
  <c r="H131" i="49"/>
  <c r="H130" i="49"/>
  <c r="H129" i="49"/>
  <c r="H128" i="49"/>
  <c r="H127" i="49"/>
  <c r="H126" i="49"/>
  <c r="H125" i="49"/>
  <c r="H124" i="49"/>
  <c r="H123" i="49"/>
  <c r="H122" i="49"/>
  <c r="H121" i="49"/>
  <c r="H120" i="49"/>
  <c r="H119" i="49"/>
  <c r="H118" i="49"/>
  <c r="H117" i="49"/>
  <c r="H116" i="49"/>
  <c r="H115" i="49"/>
  <c r="H114" i="49"/>
  <c r="H113" i="49"/>
  <c r="H112" i="49"/>
  <c r="H111" i="49"/>
  <c r="H110" i="49"/>
  <c r="H109" i="49"/>
  <c r="H108" i="49"/>
  <c r="H107" i="49"/>
  <c r="H106" i="49"/>
  <c r="H105" i="49"/>
  <c r="H104" i="49"/>
  <c r="H103" i="49"/>
  <c r="H102" i="49"/>
  <c r="H101" i="49"/>
  <c r="H100" i="49"/>
  <c r="H99" i="49"/>
  <c r="H98" i="49"/>
  <c r="H97" i="49"/>
  <c r="H96" i="49"/>
  <c r="H95" i="49"/>
  <c r="H94" i="49"/>
  <c r="H93" i="49"/>
  <c r="H92" i="49"/>
  <c r="H91" i="49"/>
  <c r="H90" i="49"/>
  <c r="H89" i="49"/>
  <c r="H88" i="49"/>
  <c r="H87" i="49"/>
  <c r="H86" i="49"/>
  <c r="H85" i="49"/>
  <c r="H84" i="49"/>
  <c r="H83" i="49"/>
  <c r="H82" i="49"/>
  <c r="H81" i="49"/>
  <c r="H80" i="49"/>
  <c r="H79" i="49"/>
  <c r="H78" i="49"/>
  <c r="H77" i="49"/>
  <c r="H76" i="49"/>
  <c r="H75" i="49"/>
  <c r="H74" i="49"/>
  <c r="H73" i="49"/>
  <c r="H72" i="49"/>
  <c r="H71" i="49"/>
  <c r="H70" i="49"/>
  <c r="H69" i="49"/>
  <c r="P67" i="49"/>
  <c r="O67" i="49"/>
  <c r="N67" i="49"/>
  <c r="M67" i="49"/>
  <c r="L67" i="49"/>
  <c r="K67" i="49"/>
  <c r="J67" i="49"/>
  <c r="I67" i="49"/>
  <c r="H66" i="49"/>
  <c r="H65" i="49"/>
  <c r="H64" i="49"/>
  <c r="H63" i="49"/>
  <c r="H62" i="49"/>
  <c r="H61" i="49"/>
  <c r="H60" i="49"/>
  <c r="H59" i="49"/>
  <c r="H58" i="49"/>
  <c r="P56" i="49"/>
  <c r="O56" i="49"/>
  <c r="N56" i="49"/>
  <c r="M56" i="49"/>
  <c r="L56" i="49"/>
  <c r="K56" i="49"/>
  <c r="J56" i="49"/>
  <c r="I56" i="49"/>
  <c r="H55" i="49"/>
  <c r="H54" i="49"/>
  <c r="H53" i="49"/>
  <c r="H52" i="49"/>
  <c r="H51" i="49"/>
  <c r="H50" i="49"/>
  <c r="H49" i="49"/>
  <c r="H48" i="49"/>
  <c r="H47" i="49"/>
  <c r="H46" i="49"/>
  <c r="H45" i="49"/>
  <c r="H44" i="49"/>
  <c r="H43" i="49"/>
  <c r="H42" i="49"/>
  <c r="H41" i="49"/>
  <c r="P39" i="49"/>
  <c r="O39" i="49"/>
  <c r="N39" i="49"/>
  <c r="M39" i="49"/>
  <c r="L39" i="49"/>
  <c r="K39" i="49"/>
  <c r="J39" i="49"/>
  <c r="I39" i="49"/>
  <c r="H38" i="49"/>
  <c r="H39" i="49" s="1"/>
  <c r="P36" i="49"/>
  <c r="O36" i="49"/>
  <c r="N36" i="49"/>
  <c r="M36" i="49"/>
  <c r="L36" i="49"/>
  <c r="K36" i="49"/>
  <c r="J36" i="49"/>
  <c r="I36" i="49"/>
  <c r="H35" i="49"/>
  <c r="H34" i="49"/>
  <c r="H33" i="49"/>
  <c r="H32" i="49"/>
  <c r="P30" i="49"/>
  <c r="O30" i="49"/>
  <c r="N30" i="49"/>
  <c r="M30" i="49"/>
  <c r="L30" i="49"/>
  <c r="K30" i="49"/>
  <c r="J30" i="49"/>
  <c r="I30" i="49"/>
  <c r="H29" i="49"/>
  <c r="H28" i="49"/>
  <c r="H27" i="49"/>
  <c r="H26" i="49"/>
  <c r="H25" i="49"/>
  <c r="H24" i="49"/>
  <c r="H23" i="49"/>
  <c r="H22" i="49"/>
  <c r="H20" i="49"/>
  <c r="H19" i="49"/>
  <c r="H18" i="49"/>
  <c r="H17" i="49"/>
  <c r="H16" i="49"/>
  <c r="H15" i="49"/>
  <c r="P12" i="49"/>
  <c r="O12" i="49"/>
  <c r="N12" i="49"/>
  <c r="M12" i="49"/>
  <c r="L12" i="49"/>
  <c r="K12" i="49"/>
  <c r="J12" i="49"/>
  <c r="I12" i="49"/>
  <c r="H11" i="49"/>
  <c r="H10" i="49"/>
  <c r="H12" i="49" s="1"/>
  <c r="P8" i="49"/>
  <c r="O8" i="49"/>
  <c r="N8" i="49"/>
  <c r="M8" i="49"/>
  <c r="J8" i="49"/>
  <c r="I8" i="49"/>
  <c r="H7" i="49"/>
  <c r="L6" i="49"/>
  <c r="L8" i="49" s="1"/>
  <c r="K6" i="49"/>
  <c r="H6" i="49" s="1"/>
  <c r="H8" i="49" s="1"/>
  <c r="E80" i="50" l="1"/>
  <c r="C92" i="50"/>
  <c r="C80" i="50"/>
  <c r="D80" i="50"/>
  <c r="F80" i="50"/>
  <c r="G79" i="50"/>
  <c r="G84" i="50"/>
  <c r="F93" i="50"/>
  <c r="E93" i="50"/>
  <c r="E95" i="50" s="1"/>
  <c r="C93" i="50"/>
  <c r="D93" i="50"/>
  <c r="D95" i="50" s="1"/>
  <c r="G22" i="50"/>
  <c r="G90" i="50"/>
  <c r="G92" i="50"/>
  <c r="G10" i="50"/>
  <c r="G64" i="50"/>
  <c r="G40" i="50"/>
  <c r="G31" i="50"/>
  <c r="G54" i="50"/>
  <c r="G83" i="50"/>
  <c r="G91" i="50"/>
  <c r="G89" i="50"/>
  <c r="F88" i="50"/>
  <c r="G88" i="50" s="1"/>
  <c r="G4" i="50"/>
  <c r="G69" i="50"/>
  <c r="F86" i="50"/>
  <c r="G86" i="50" s="1"/>
  <c r="G46" i="50"/>
  <c r="G77" i="50"/>
  <c r="H67" i="49"/>
  <c r="H56" i="49"/>
  <c r="H30" i="49"/>
  <c r="H36" i="49"/>
  <c r="H197" i="49"/>
  <c r="P203" i="49"/>
  <c r="H171" i="49"/>
  <c r="K203" i="49"/>
  <c r="L203" i="49"/>
  <c r="K8" i="49"/>
  <c r="I197" i="49"/>
  <c r="I203" i="49" s="1"/>
  <c r="C95" i="50" l="1"/>
  <c r="G95" i="50" s="1"/>
  <c r="F95" i="50"/>
  <c r="G93" i="50"/>
  <c r="G80" i="50"/>
  <c r="H203" i="49"/>
  <c r="J79" i="47"/>
  <c r="I79" i="47"/>
  <c r="F79" i="47"/>
  <c r="J78" i="47"/>
  <c r="I78" i="47"/>
  <c r="H78" i="47"/>
  <c r="H79" i="47" s="1"/>
  <c r="G78" i="47"/>
  <c r="G79" i="47" s="1"/>
  <c r="F78" i="47"/>
  <c r="E77" i="47"/>
  <c r="E78" i="47" s="1"/>
  <c r="E79" i="47" s="1"/>
  <c r="J72" i="47"/>
  <c r="I72" i="47"/>
  <c r="H72" i="47"/>
  <c r="G72" i="47"/>
  <c r="F72" i="47"/>
  <c r="E71" i="47"/>
  <c r="E72" i="47" s="1"/>
  <c r="J69" i="47"/>
  <c r="I69" i="47"/>
  <c r="H69" i="47"/>
  <c r="G69" i="47"/>
  <c r="F69" i="47"/>
  <c r="E68" i="47"/>
  <c r="E69" i="47" s="1"/>
  <c r="J66" i="47"/>
  <c r="I66" i="47"/>
  <c r="H66" i="47"/>
  <c r="G66" i="47"/>
  <c r="F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50" i="47"/>
  <c r="J48" i="47"/>
  <c r="I48" i="47"/>
  <c r="H48" i="47"/>
  <c r="G48" i="47"/>
  <c r="F48" i="47"/>
  <c r="E47" i="47"/>
  <c r="E46" i="47"/>
  <c r="E45" i="47"/>
  <c r="E44" i="47"/>
  <c r="E43" i="47"/>
  <c r="E42" i="47"/>
  <c r="E41" i="47"/>
  <c r="E40" i="47"/>
  <c r="E39" i="47"/>
  <c r="J37" i="47"/>
  <c r="I37" i="47"/>
  <c r="H37" i="47"/>
  <c r="G37" i="47"/>
  <c r="F37" i="47"/>
  <c r="D37" i="47"/>
  <c r="E36" i="47"/>
  <c r="E37" i="47" s="1"/>
  <c r="J34" i="47"/>
  <c r="I34" i="47"/>
  <c r="H34" i="47"/>
  <c r="G34" i="47"/>
  <c r="F34" i="47"/>
  <c r="E33" i="47"/>
  <c r="E32" i="47"/>
  <c r="E31" i="47"/>
  <c r="E30" i="47"/>
  <c r="E29" i="47"/>
  <c r="E28" i="47"/>
  <c r="E27" i="47"/>
  <c r="J25" i="47"/>
  <c r="I25" i="47"/>
  <c r="H25" i="47"/>
  <c r="G25" i="47"/>
  <c r="F25" i="47"/>
  <c r="E24" i="47"/>
  <c r="E25" i="47" s="1"/>
  <c r="J22" i="47"/>
  <c r="I22" i="47"/>
  <c r="H22" i="47"/>
  <c r="G22" i="47"/>
  <c r="F22" i="47"/>
  <c r="E21" i="47"/>
  <c r="E20" i="47"/>
  <c r="E22" i="47" s="1"/>
  <c r="J18" i="47"/>
  <c r="J73" i="47" s="1"/>
  <c r="J81" i="47" s="1"/>
  <c r="I18" i="47"/>
  <c r="H18" i="47"/>
  <c r="G18" i="47"/>
  <c r="F18" i="47"/>
  <c r="F73" i="47" s="1"/>
  <c r="F81" i="47" s="1"/>
  <c r="E17" i="47"/>
  <c r="E16" i="47"/>
  <c r="E15" i="47"/>
  <c r="E14" i="47"/>
  <c r="E13" i="47"/>
  <c r="E12" i="47"/>
  <c r="E11" i="47"/>
  <c r="E10" i="47"/>
  <c r="E9" i="47"/>
  <c r="E8" i="47"/>
  <c r="E7" i="47"/>
  <c r="E18" i="47" l="1"/>
  <c r="E73" i="47" s="1"/>
  <c r="E81" i="47" s="1"/>
  <c r="E48" i="47"/>
  <c r="H73" i="47"/>
  <c r="E34" i="47"/>
  <c r="G73" i="47"/>
  <c r="I73" i="47"/>
  <c r="I81" i="47" s="1"/>
  <c r="E66" i="47"/>
  <c r="H81" i="47"/>
  <c r="G81" i="47"/>
  <c r="AJ5" i="18" l="1"/>
  <c r="AL14" i="18"/>
  <c r="AM4" i="18" s="1"/>
  <c r="AL20" i="18"/>
  <c r="AM23" i="18" s="1"/>
  <c r="AL14" i="15"/>
  <c r="AJ14" i="15"/>
  <c r="AL11" i="15"/>
  <c r="AM9" i="15" s="1"/>
  <c r="AM22" i="18" l="1"/>
  <c r="AM28" i="18"/>
  <c r="AM27" i="18"/>
  <c r="AM32" i="18"/>
  <c r="AM26" i="18"/>
  <c r="AM31" i="18"/>
  <c r="AM25" i="18"/>
  <c r="AM30" i="18"/>
  <c r="AM24" i="18"/>
  <c r="AM21" i="18"/>
  <c r="AM29" i="18"/>
  <c r="AM11" i="18"/>
  <c r="AM10" i="18"/>
  <c r="AM9" i="18"/>
  <c r="AM7" i="18"/>
  <c r="AM8" i="18"/>
  <c r="AM6" i="18"/>
  <c r="AM2" i="18"/>
  <c r="AM5" i="18"/>
  <c r="AM3" i="18"/>
  <c r="AM12" i="18"/>
  <c r="AM4" i="15"/>
  <c r="AM3" i="15"/>
  <c r="AM2" i="15"/>
  <c r="AM8" i="15"/>
  <c r="AM7" i="15"/>
  <c r="AM6" i="15"/>
  <c r="AM5" i="15"/>
  <c r="Z14" i="10"/>
  <c r="I152" i="46" l="1"/>
  <c r="F150" i="46"/>
  <c r="F152" i="46" s="1"/>
  <c r="G150" i="46"/>
  <c r="H150" i="46"/>
  <c r="H152" i="46" s="1"/>
  <c r="I150" i="46"/>
  <c r="J150" i="46"/>
  <c r="K150" i="46"/>
  <c r="E122" i="46"/>
  <c r="F122" i="46"/>
  <c r="G122" i="46"/>
  <c r="H122" i="46"/>
  <c r="I122" i="46"/>
  <c r="J122" i="46"/>
  <c r="K122" i="46"/>
  <c r="D122" i="46"/>
  <c r="E118" i="46"/>
  <c r="F118" i="46"/>
  <c r="G118" i="46"/>
  <c r="G152" i="46" s="1"/>
  <c r="H118" i="46"/>
  <c r="I118" i="46"/>
  <c r="J118" i="46"/>
  <c r="J152" i="46" s="1"/>
  <c r="K118" i="46"/>
  <c r="K152" i="46" s="1"/>
  <c r="D118" i="46"/>
  <c r="F115" i="46"/>
  <c r="G115" i="46"/>
  <c r="H115" i="46"/>
  <c r="I115" i="46"/>
  <c r="J115" i="46"/>
  <c r="K115" i="46"/>
  <c r="D115" i="46"/>
  <c r="F79" i="46"/>
  <c r="G79" i="46"/>
  <c r="H79" i="46"/>
  <c r="I79" i="46"/>
  <c r="J79" i="46"/>
  <c r="K79" i="46"/>
  <c r="D79" i="46"/>
  <c r="E51" i="46"/>
  <c r="F51" i="46"/>
  <c r="G51" i="46"/>
  <c r="H51" i="46"/>
  <c r="I51" i="46"/>
  <c r="J51" i="46"/>
  <c r="K51" i="46"/>
  <c r="D51" i="46"/>
  <c r="E46" i="46"/>
  <c r="F46" i="46"/>
  <c r="G46" i="46"/>
  <c r="H46" i="46"/>
  <c r="I46" i="46"/>
  <c r="J46" i="46"/>
  <c r="K46" i="46"/>
  <c r="D46" i="46"/>
  <c r="F38" i="46"/>
  <c r="G38" i="46"/>
  <c r="H38" i="46"/>
  <c r="I38" i="46"/>
  <c r="J38" i="46"/>
  <c r="K38" i="46"/>
  <c r="D38" i="46"/>
  <c r="E25" i="46"/>
  <c r="F25" i="46"/>
  <c r="G25" i="46"/>
  <c r="H25" i="46"/>
  <c r="I25" i="46"/>
  <c r="J25" i="46"/>
  <c r="K25" i="46"/>
  <c r="D25" i="46"/>
  <c r="E22" i="46"/>
  <c r="F22" i="46"/>
  <c r="G22" i="46"/>
  <c r="H22" i="46"/>
  <c r="I22" i="46"/>
  <c r="J22" i="46"/>
  <c r="K22" i="46"/>
  <c r="D22" i="46"/>
  <c r="E17" i="46"/>
  <c r="F17" i="46"/>
  <c r="G17" i="46"/>
  <c r="H17" i="46"/>
  <c r="I17" i="46"/>
  <c r="J17" i="46"/>
  <c r="K17" i="46"/>
  <c r="C118" i="46"/>
  <c r="C150" i="46"/>
  <c r="D149" i="46"/>
  <c r="D150" i="46" s="1"/>
  <c r="E147" i="46"/>
  <c r="E150" i="46" s="1"/>
  <c r="K146" i="46"/>
  <c r="K145" i="46"/>
  <c r="C122" i="46"/>
  <c r="C115" i="46"/>
  <c r="E114" i="46"/>
  <c r="E109" i="46"/>
  <c r="E104" i="46"/>
  <c r="E103" i="46"/>
  <c r="E102" i="46"/>
  <c r="E99" i="46"/>
  <c r="E96" i="46"/>
  <c r="E94" i="46"/>
  <c r="E90" i="46"/>
  <c r="E89" i="46"/>
  <c r="E82" i="46"/>
  <c r="E115" i="46" s="1"/>
  <c r="C79" i="46"/>
  <c r="E77" i="46"/>
  <c r="E76" i="46"/>
  <c r="E68" i="46"/>
  <c r="E66" i="46"/>
  <c r="E55" i="46"/>
  <c r="E54" i="46"/>
  <c r="E53" i="46"/>
  <c r="E79" i="46" s="1"/>
  <c r="C46" i="46"/>
  <c r="C51" i="46"/>
  <c r="C38" i="46"/>
  <c r="E37" i="46"/>
  <c r="E36" i="46"/>
  <c r="E35" i="46"/>
  <c r="E33" i="46"/>
  <c r="E38" i="46" s="1"/>
  <c r="C25" i="46"/>
  <c r="C22" i="46"/>
  <c r="D17" i="46"/>
  <c r="C17" i="46"/>
  <c r="E152" i="46" l="1"/>
  <c r="D152" i="46"/>
  <c r="C152" i="46"/>
  <c r="C145" i="45"/>
  <c r="C147" i="45" s="1"/>
  <c r="C60" i="45"/>
  <c r="C53" i="45"/>
  <c r="C15" i="45"/>
  <c r="E41" i="25" l="1"/>
  <c r="D41" i="25"/>
  <c r="E26" i="25"/>
  <c r="D26" i="25"/>
  <c r="D8" i="25"/>
  <c r="G35" i="25" l="1"/>
  <c r="G37" i="25"/>
  <c r="G38" i="25"/>
  <c r="G40" i="25"/>
  <c r="G29" i="25"/>
  <c r="G11" i="25"/>
  <c r="G14" i="25"/>
  <c r="G15" i="25"/>
  <c r="G16" i="25"/>
  <c r="G21" i="25"/>
  <c r="G23" i="25"/>
  <c r="D62" i="25"/>
  <c r="E62" i="25"/>
  <c r="C68" i="25"/>
  <c r="C62" i="25"/>
  <c r="C57" i="25"/>
  <c r="C52" i="25"/>
  <c r="C42" i="25"/>
  <c r="C27" i="25"/>
  <c r="C9" i="25"/>
  <c r="C4" i="25"/>
  <c r="AJ3" i="18"/>
  <c r="C69" i="25" l="1"/>
  <c r="AJ8" i="15"/>
  <c r="AJ20" i="18" l="1"/>
  <c r="AJ14" i="18"/>
  <c r="AJ11" i="15"/>
  <c r="Y14" i="13"/>
  <c r="Y5" i="13"/>
  <c r="AK22" i="18" l="1"/>
  <c r="AM20" i="18"/>
  <c r="AK9" i="15"/>
  <c r="AK5" i="18"/>
  <c r="AK6" i="18"/>
  <c r="AK7" i="18"/>
  <c r="AK8" i="18"/>
  <c r="AK4" i="18"/>
  <c r="AK21" i="18"/>
  <c r="AK33" i="18"/>
  <c r="AK27" i="18"/>
  <c r="AK32" i="18"/>
  <c r="AK26" i="18"/>
  <c r="AK28" i="18"/>
  <c r="AK31" i="18"/>
  <c r="AK25" i="18"/>
  <c r="AK30" i="18"/>
  <c r="AK24" i="18"/>
  <c r="AK29" i="18"/>
  <c r="AK23" i="18"/>
  <c r="AK6" i="15"/>
  <c r="AK7" i="15"/>
  <c r="AK8" i="15"/>
  <c r="AK2" i="15"/>
  <c r="AK4" i="15"/>
  <c r="AK5" i="15"/>
  <c r="AK3" i="15"/>
  <c r="AK2" i="18"/>
  <c r="AK12" i="18"/>
  <c r="AK3" i="18"/>
  <c r="AK11" i="18"/>
  <c r="AK10" i="18"/>
  <c r="AK9" i="18"/>
  <c r="AM14" i="18" l="1"/>
  <c r="AM11" i="15"/>
  <c r="E68" i="25" l="1"/>
  <c r="D68" i="25"/>
  <c r="F68" i="25" l="1"/>
  <c r="G67" i="25"/>
  <c r="G25" i="25" l="1"/>
  <c r="G26" i="25"/>
  <c r="X14" i="13" l="1"/>
  <c r="X5" i="13"/>
  <c r="AH14" i="15"/>
  <c r="AH11" i="15"/>
  <c r="AH20" i="18"/>
  <c r="AH14" i="18"/>
  <c r="D42" i="25"/>
  <c r="AI10" i="18" l="1"/>
  <c r="AI23" i="18"/>
  <c r="AI3" i="15"/>
  <c r="AK11" i="15"/>
  <c r="AI27" i="18"/>
  <c r="AI26" i="18"/>
  <c r="AI22" i="18"/>
  <c r="AI33" i="18"/>
  <c r="AI32" i="18"/>
  <c r="AI8" i="18"/>
  <c r="AI7" i="18"/>
  <c r="AI9" i="18"/>
  <c r="AI5" i="18"/>
  <c r="AI2" i="18"/>
  <c r="AI4" i="18"/>
  <c r="AI12" i="18"/>
  <c r="AI3" i="18"/>
  <c r="AI11" i="18"/>
  <c r="AI2" i="15"/>
  <c r="AI8" i="15"/>
  <c r="AI7" i="15"/>
  <c r="AI6" i="15"/>
  <c r="AI5" i="15"/>
  <c r="AI4" i="15"/>
  <c r="AI21" i="18"/>
  <c r="AI28" i="18"/>
  <c r="AI31" i="18"/>
  <c r="AI25" i="18"/>
  <c r="AI30" i="18"/>
  <c r="AI24" i="18"/>
  <c r="AI29" i="18"/>
  <c r="F52" i="25"/>
  <c r="E52" i="25"/>
  <c r="D52" i="25"/>
  <c r="AK14" i="18" l="1"/>
  <c r="AK20" i="18"/>
  <c r="G56" i="25"/>
  <c r="G55" i="25"/>
  <c r="G54" i="25"/>
  <c r="G41" i="25"/>
  <c r="AF20" i="18" l="1"/>
  <c r="AF14" i="18"/>
  <c r="AG26" i="18" l="1"/>
  <c r="AG9" i="18"/>
  <c r="AG22" i="18"/>
  <c r="AG31" i="18"/>
  <c r="AG25" i="18"/>
  <c r="AG23" i="18"/>
  <c r="AG28" i="18"/>
  <c r="AG33" i="18"/>
  <c r="AG27" i="18"/>
  <c r="AG30" i="18"/>
  <c r="AG24" i="18"/>
  <c r="AG29" i="18"/>
  <c r="AG21" i="18"/>
  <c r="AG32" i="18"/>
  <c r="AG8" i="18"/>
  <c r="AG7" i="18"/>
  <c r="AG2" i="18"/>
  <c r="AG4" i="18"/>
  <c r="AG12" i="18"/>
  <c r="AG3" i="18"/>
  <c r="AG10" i="18"/>
  <c r="AG5" i="18"/>
  <c r="AG11" i="18"/>
  <c r="AI20" i="18" l="1"/>
  <c r="AI14" i="18"/>
  <c r="AG20" i="18"/>
  <c r="AG14" i="18"/>
  <c r="AF14" i="15" l="1"/>
  <c r="AF11" i="15"/>
  <c r="AG7" i="15" l="1"/>
  <c r="AG5" i="15"/>
  <c r="AG6" i="15"/>
  <c r="AG4" i="15"/>
  <c r="AG3" i="15"/>
  <c r="AG2" i="15"/>
  <c r="AG8" i="15"/>
  <c r="W14" i="13"/>
  <c r="W5" i="13"/>
  <c r="AI11" i="15" l="1"/>
  <c r="AG11" i="15"/>
  <c r="F62" i="25" l="1"/>
  <c r="G61" i="25"/>
  <c r="G33" i="25" l="1"/>
  <c r="G32" i="25"/>
  <c r="AD20" i="18" l="1"/>
  <c r="AE23" i="18" s="1"/>
  <c r="AD14" i="18"/>
  <c r="AE5" i="18" s="1"/>
  <c r="AD14" i="15"/>
  <c r="AD11" i="15"/>
  <c r="AE8" i="15" s="1"/>
  <c r="AE7" i="15" l="1"/>
  <c r="AE6" i="15"/>
  <c r="AE5" i="15"/>
  <c r="AE4" i="15"/>
  <c r="AE3" i="15"/>
  <c r="AE2" i="15"/>
  <c r="AE21" i="18"/>
  <c r="AE27" i="18"/>
  <c r="AE28" i="18"/>
  <c r="AE32" i="18"/>
  <c r="AE26" i="18"/>
  <c r="AE33" i="18"/>
  <c r="AE31" i="18"/>
  <c r="AE25" i="18"/>
  <c r="AE30" i="18"/>
  <c r="AE24" i="18"/>
  <c r="AE29" i="18"/>
  <c r="AE4" i="18"/>
  <c r="AE7" i="18"/>
  <c r="AE2" i="18"/>
  <c r="AE12" i="18"/>
  <c r="AE3" i="18"/>
  <c r="AE11" i="18"/>
  <c r="AE10" i="18"/>
  <c r="AE9" i="18"/>
  <c r="AE8" i="18"/>
  <c r="AE11" i="15" l="1"/>
  <c r="AE20" i="18"/>
  <c r="AE14" i="18"/>
  <c r="V14" i="13"/>
  <c r="V5" i="13"/>
  <c r="F57" i="25" l="1"/>
  <c r="E57" i="25"/>
  <c r="D57" i="25"/>
  <c r="G66" i="25" l="1"/>
  <c r="F9" i="25" l="1"/>
  <c r="D9" i="25"/>
  <c r="E9" i="25"/>
  <c r="G8" i="25" l="1"/>
  <c r="G30" i="25"/>
  <c r="AB20" i="18" l="1"/>
  <c r="AB14" i="18"/>
  <c r="AC7" i="18" s="1"/>
  <c r="AC25" i="18" l="1"/>
  <c r="AC29" i="18"/>
  <c r="AC31" i="18"/>
  <c r="AC28" i="18"/>
  <c r="AC24" i="18"/>
  <c r="AC21" i="18"/>
  <c r="AC30" i="18"/>
  <c r="AC27" i="18"/>
  <c r="AC23" i="18"/>
  <c r="AC33" i="18"/>
  <c r="AC26" i="18"/>
  <c r="AC32" i="18"/>
  <c r="AC5" i="18"/>
  <c r="AC2" i="18"/>
  <c r="AC10" i="18"/>
  <c r="AC9" i="18"/>
  <c r="AC4" i="18"/>
  <c r="AC12" i="18"/>
  <c r="AC8" i="18"/>
  <c r="AC3" i="18"/>
  <c r="AC11" i="18"/>
  <c r="AC20" i="18" l="1"/>
  <c r="AC14" i="18"/>
  <c r="C75" i="25" l="1"/>
  <c r="F79" i="25"/>
  <c r="G64" i="25"/>
  <c r="G65" i="25"/>
  <c r="G63" i="25"/>
  <c r="C78" i="25"/>
  <c r="G60" i="25"/>
  <c r="G59" i="25"/>
  <c r="G58" i="25"/>
  <c r="F77" i="25"/>
  <c r="E77" i="25"/>
  <c r="D77" i="25"/>
  <c r="G53" i="25"/>
  <c r="G52" i="25"/>
  <c r="E76" i="25"/>
  <c r="D76" i="25"/>
  <c r="C76" i="25"/>
  <c r="G51" i="25"/>
  <c r="G49" i="25"/>
  <c r="G48" i="25"/>
  <c r="G47" i="25"/>
  <c r="G46" i="25"/>
  <c r="G45" i="25"/>
  <c r="G44" i="25"/>
  <c r="G43" i="25"/>
  <c r="F42" i="25"/>
  <c r="F75" i="25" s="1"/>
  <c r="E42" i="25"/>
  <c r="E75" i="25" s="1"/>
  <c r="D75" i="25"/>
  <c r="F27" i="25"/>
  <c r="F74" i="25" s="1"/>
  <c r="C74" i="25"/>
  <c r="E27" i="25"/>
  <c r="E74" i="25" s="1"/>
  <c r="D27" i="25"/>
  <c r="D74" i="25" s="1"/>
  <c r="F73" i="25"/>
  <c r="E73" i="25"/>
  <c r="D73" i="25"/>
  <c r="G7" i="25"/>
  <c r="G6" i="25"/>
  <c r="G5" i="25"/>
  <c r="F4" i="25"/>
  <c r="F72" i="25" s="1"/>
  <c r="E4" i="25"/>
  <c r="E72" i="25" s="1"/>
  <c r="D4" i="25"/>
  <c r="D72" i="25" s="1"/>
  <c r="G3" i="25"/>
  <c r="E78" i="25" l="1"/>
  <c r="E69" i="25"/>
  <c r="D78" i="25"/>
  <c r="D69" i="25"/>
  <c r="F78" i="25"/>
  <c r="G78" i="25" s="1"/>
  <c r="F69" i="25"/>
  <c r="G69" i="25" s="1"/>
  <c r="G42" i="25"/>
  <c r="G9" i="25"/>
  <c r="G4" i="25"/>
  <c r="G57" i="25"/>
  <c r="G74" i="25"/>
  <c r="G75" i="25"/>
  <c r="G68" i="25"/>
  <c r="F76" i="25"/>
  <c r="G76" i="25" s="1"/>
  <c r="G27" i="25"/>
  <c r="D79" i="25"/>
  <c r="C72" i="25"/>
  <c r="G72" i="25" s="1"/>
  <c r="C73" i="25"/>
  <c r="G73" i="25" s="1"/>
  <c r="C77" i="25"/>
  <c r="G77" i="25" s="1"/>
  <c r="E79" i="25"/>
  <c r="C79" i="25"/>
  <c r="G79" i="25" s="1"/>
  <c r="G62" i="25"/>
  <c r="D80" i="25" l="1"/>
  <c r="E80" i="25"/>
  <c r="F80" i="25"/>
  <c r="C80" i="25"/>
  <c r="G80" i="25" l="1"/>
  <c r="AB14" i="15"/>
  <c r="AB11" i="15"/>
  <c r="U14" i="13"/>
  <c r="U5" i="13"/>
  <c r="AC3" i="15" l="1"/>
  <c r="AC7" i="15"/>
  <c r="AC8" i="15"/>
  <c r="AC5" i="15"/>
  <c r="AC6" i="15"/>
  <c r="AC4" i="15"/>
  <c r="AC2" i="15"/>
  <c r="AC11" i="15" l="1"/>
  <c r="Z20" i="18"/>
  <c r="AA27" i="18" s="1"/>
  <c r="Z14" i="18"/>
  <c r="AA4" i="18" s="1"/>
  <c r="Z14" i="15"/>
  <c r="X14" i="15"/>
  <c r="V14" i="15"/>
  <c r="T14" i="15"/>
  <c r="R14" i="15"/>
  <c r="AA23" i="18" l="1"/>
  <c r="AA31" i="18"/>
  <c r="AA25" i="18"/>
  <c r="AA33" i="18"/>
  <c r="AA26" i="18"/>
  <c r="AA21" i="18"/>
  <c r="AA24" i="18"/>
  <c r="AA28" i="18"/>
  <c r="AA32" i="18"/>
  <c r="AA30" i="18"/>
  <c r="AA12" i="18"/>
  <c r="AA8" i="18"/>
  <c r="AA3" i="18"/>
  <c r="AA11" i="18"/>
  <c r="AA7" i="18"/>
  <c r="AA10" i="18"/>
  <c r="AA5" i="18"/>
  <c r="AA2" i="18"/>
  <c r="AA9" i="18"/>
  <c r="AA20" i="18" l="1"/>
  <c r="AA14" i="18"/>
  <c r="Z11" i="15" l="1"/>
  <c r="T14" i="13"/>
  <c r="T5" i="13"/>
  <c r="AA5" i="15" l="1"/>
  <c r="AA2" i="15"/>
  <c r="AA7" i="15"/>
  <c r="AA4" i="15"/>
  <c r="AA8" i="15"/>
  <c r="AA6" i="15"/>
  <c r="AA3" i="15"/>
  <c r="AA11" i="15" l="1"/>
  <c r="T3" i="18"/>
  <c r="P4" i="18"/>
  <c r="D5" i="18"/>
  <c r="F5" i="18"/>
  <c r="F14" i="18" s="1"/>
  <c r="P5" i="18"/>
  <c r="P14" i="18" s="1"/>
  <c r="Q8" i="18" s="1"/>
  <c r="R5" i="18"/>
  <c r="R14" i="18" s="1"/>
  <c r="S2" i="18" s="1"/>
  <c r="T5" i="18"/>
  <c r="T14" i="18" s="1"/>
  <c r="U2" i="18" s="1"/>
  <c r="D7" i="18"/>
  <c r="F7" i="18"/>
  <c r="B14" i="18"/>
  <c r="C2" i="18" s="1"/>
  <c r="H14" i="18"/>
  <c r="I8" i="18" s="1"/>
  <c r="J14" i="18"/>
  <c r="K2" i="18" s="1"/>
  <c r="L14" i="18"/>
  <c r="M5" i="18" s="1"/>
  <c r="N14" i="18"/>
  <c r="O5" i="18" s="1"/>
  <c r="V14" i="18"/>
  <c r="W5" i="18" s="1"/>
  <c r="X14" i="18"/>
  <c r="Y3" i="18" s="1"/>
  <c r="D20" i="18"/>
  <c r="F20" i="18"/>
  <c r="G21" i="18" s="1"/>
  <c r="J20" i="18"/>
  <c r="K23" i="18" s="1"/>
  <c r="L20" i="18"/>
  <c r="M24" i="18" s="1"/>
  <c r="N20" i="18"/>
  <c r="O31" i="18" s="1"/>
  <c r="P20" i="18"/>
  <c r="Q21" i="18" s="1"/>
  <c r="R20" i="18"/>
  <c r="S23" i="18" s="1"/>
  <c r="T20" i="18"/>
  <c r="U28" i="18" s="1"/>
  <c r="V20" i="18"/>
  <c r="W26" i="18" s="1"/>
  <c r="X20" i="18"/>
  <c r="Y21" i="18" s="1"/>
  <c r="B25" i="18"/>
  <c r="H27" i="18"/>
  <c r="B28" i="18"/>
  <c r="H28" i="18"/>
  <c r="B32" i="18"/>
  <c r="J5" i="15"/>
  <c r="L5" i="15"/>
  <c r="L11" i="15" s="1"/>
  <c r="N5" i="15"/>
  <c r="P5" i="15"/>
  <c r="I6" i="15"/>
  <c r="B11" i="15"/>
  <c r="C2" i="15" s="1"/>
  <c r="D11" i="15"/>
  <c r="E6" i="15" s="1"/>
  <c r="F11" i="15"/>
  <c r="H11" i="15"/>
  <c r="M8" i="15" s="1"/>
  <c r="J11" i="15"/>
  <c r="K2" i="15" s="1"/>
  <c r="N11" i="15"/>
  <c r="O2" i="15" s="1"/>
  <c r="R11" i="15"/>
  <c r="S2" i="15" s="1"/>
  <c r="T11" i="15"/>
  <c r="U6" i="15" s="1"/>
  <c r="V11" i="15"/>
  <c r="W2" i="15" s="1"/>
  <c r="X11" i="15"/>
  <c r="Y6" i="15" s="1"/>
  <c r="D14" i="15"/>
  <c r="H14" i="15"/>
  <c r="J14" i="15"/>
  <c r="N14" i="15"/>
  <c r="B5" i="13"/>
  <c r="C5" i="13"/>
  <c r="D5" i="13"/>
  <c r="E5" i="13"/>
  <c r="F5" i="13"/>
  <c r="F17" i="13" s="1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7" i="13"/>
  <c r="E11" i="10"/>
  <c r="H15" i="10"/>
  <c r="I15" i="10"/>
  <c r="C21" i="10"/>
  <c r="D21" i="10"/>
  <c r="B26" i="10"/>
  <c r="C26" i="10"/>
  <c r="D26" i="10"/>
  <c r="D14" i="18" l="1"/>
  <c r="G9" i="18" s="1"/>
  <c r="M32" i="18"/>
  <c r="M21" i="18"/>
  <c r="M30" i="18"/>
  <c r="M26" i="18"/>
  <c r="M23" i="18"/>
  <c r="M25" i="18"/>
  <c r="M27" i="18"/>
  <c r="M28" i="18"/>
  <c r="S24" i="18"/>
  <c r="M31" i="18"/>
  <c r="L14" i="15"/>
  <c r="K31" i="18"/>
  <c r="K30" i="18"/>
  <c r="K5" i="18"/>
  <c r="K27" i="18"/>
  <c r="K32" i="18"/>
  <c r="K25" i="18"/>
  <c r="K24" i="18"/>
  <c r="S31" i="18"/>
  <c r="K26" i="18"/>
  <c r="S21" i="18"/>
  <c r="K21" i="18"/>
  <c r="K28" i="18"/>
  <c r="U31" i="18"/>
  <c r="W9" i="18"/>
  <c r="O9" i="18"/>
  <c r="I4" i="15"/>
  <c r="S32" i="18"/>
  <c r="S30" i="18"/>
  <c r="S27" i="18"/>
  <c r="W24" i="18"/>
  <c r="U23" i="18"/>
  <c r="W32" i="18"/>
  <c r="U26" i="18"/>
  <c r="U32" i="18"/>
  <c r="U24" i="18"/>
  <c r="U21" i="18"/>
  <c r="W23" i="18"/>
  <c r="W30" i="18"/>
  <c r="W27" i="18"/>
  <c r="U30" i="18"/>
  <c r="U27" i="18"/>
  <c r="U25" i="18"/>
  <c r="O24" i="18"/>
  <c r="S25" i="18"/>
  <c r="S28" i="18"/>
  <c r="Y8" i="15"/>
  <c r="P11" i="15"/>
  <c r="Q6" i="15" s="1"/>
  <c r="P14" i="15"/>
  <c r="G4" i="15"/>
  <c r="W12" i="18"/>
  <c r="W8" i="18"/>
  <c r="G2" i="15"/>
  <c r="Y5" i="15"/>
  <c r="O27" i="18"/>
  <c r="O21" i="18"/>
  <c r="K8" i="15"/>
  <c r="O5" i="15"/>
  <c r="Y3" i="15"/>
  <c r="O12" i="18"/>
  <c r="O8" i="18"/>
  <c r="I8" i="15"/>
  <c r="I3" i="15"/>
  <c r="O32" i="18"/>
  <c r="B20" i="18"/>
  <c r="C21" i="18" s="1"/>
  <c r="W11" i="18"/>
  <c r="G7" i="18"/>
  <c r="W4" i="18"/>
  <c r="Y7" i="15"/>
  <c r="K5" i="15"/>
  <c r="G3" i="15"/>
  <c r="O23" i="18"/>
  <c r="O11" i="18"/>
  <c r="E7" i="18"/>
  <c r="Q4" i="18"/>
  <c r="C17" i="13"/>
  <c r="E17" i="13"/>
  <c r="I7" i="15"/>
  <c r="I5" i="15"/>
  <c r="Y2" i="15"/>
  <c r="W10" i="18"/>
  <c r="W3" i="18"/>
  <c r="Y4" i="15"/>
  <c r="B17" i="13"/>
  <c r="B13" i="15"/>
  <c r="G5" i="15"/>
  <c r="I2" i="15"/>
  <c r="O30" i="18"/>
  <c r="O10" i="18"/>
  <c r="U3" i="18"/>
  <c r="Y23" i="18"/>
  <c r="Y27" i="18"/>
  <c r="Q27" i="18"/>
  <c r="W21" i="18"/>
  <c r="Y32" i="18"/>
  <c r="Q32" i="18"/>
  <c r="G32" i="18"/>
  <c r="Y28" i="18"/>
  <c r="Q28" i="18"/>
  <c r="G27" i="18"/>
  <c r="Q26" i="18"/>
  <c r="Q25" i="18"/>
  <c r="G25" i="18"/>
  <c r="Y31" i="18"/>
  <c r="Q31" i="18"/>
  <c r="G31" i="18"/>
  <c r="W28" i="18"/>
  <c r="O28" i="18"/>
  <c r="G28" i="18"/>
  <c r="Y26" i="18"/>
  <c r="O26" i="18"/>
  <c r="W25" i="18"/>
  <c r="O25" i="18"/>
  <c r="G23" i="18"/>
  <c r="Y25" i="18"/>
  <c r="Y33" i="18"/>
  <c r="W31" i="18"/>
  <c r="Y30" i="18"/>
  <c r="Q30" i="18"/>
  <c r="G30" i="18"/>
  <c r="Y24" i="18"/>
  <c r="Q24" i="18"/>
  <c r="G24" i="18"/>
  <c r="Q23" i="18"/>
  <c r="C28" i="18"/>
  <c r="I7" i="18"/>
  <c r="Q5" i="18"/>
  <c r="E5" i="18"/>
  <c r="Q3" i="18"/>
  <c r="I3" i="18"/>
  <c r="Y2" i="18"/>
  <c r="Q2" i="18"/>
  <c r="I2" i="18"/>
  <c r="S26" i="18"/>
  <c r="H20" i="18"/>
  <c r="U12" i="18"/>
  <c r="M12" i="18"/>
  <c r="E12" i="18"/>
  <c r="U11" i="18"/>
  <c r="M11" i="18"/>
  <c r="E11" i="18"/>
  <c r="U10" i="18"/>
  <c r="M10" i="18"/>
  <c r="E10" i="18"/>
  <c r="U9" i="18"/>
  <c r="M9" i="18"/>
  <c r="E9" i="18"/>
  <c r="U8" i="18"/>
  <c r="M8" i="18"/>
  <c r="W7" i="18"/>
  <c r="O7" i="18"/>
  <c r="C7" i="18"/>
  <c r="I5" i="18"/>
  <c r="U4" i="18"/>
  <c r="O4" i="18"/>
  <c r="G4" i="18"/>
  <c r="O3" i="18"/>
  <c r="G3" i="18"/>
  <c r="W2" i="18"/>
  <c r="O2" i="18"/>
  <c r="G2" i="18"/>
  <c r="G11" i="18"/>
  <c r="G10" i="18"/>
  <c r="Q7" i="18"/>
  <c r="U5" i="18"/>
  <c r="I4" i="18"/>
  <c r="S12" i="18"/>
  <c r="K12" i="18"/>
  <c r="C12" i="18"/>
  <c r="S11" i="18"/>
  <c r="K11" i="18"/>
  <c r="C11" i="18"/>
  <c r="S10" i="18"/>
  <c r="K10" i="18"/>
  <c r="C10" i="18"/>
  <c r="S9" i="18"/>
  <c r="K9" i="18"/>
  <c r="C9" i="18"/>
  <c r="S8" i="18"/>
  <c r="K8" i="18"/>
  <c r="U7" i="18"/>
  <c r="M7" i="18"/>
  <c r="Y5" i="18"/>
  <c r="S5" i="18"/>
  <c r="G5" i="18"/>
  <c r="C5" i="18"/>
  <c r="S4" i="18"/>
  <c r="M4" i="18"/>
  <c r="E4" i="18"/>
  <c r="M3" i="18"/>
  <c r="E3" i="18"/>
  <c r="M2" i="18"/>
  <c r="E2" i="18"/>
  <c r="G12" i="18"/>
  <c r="Y7" i="18"/>
  <c r="Y12" i="18"/>
  <c r="Q12" i="18"/>
  <c r="I12" i="18"/>
  <c r="Y11" i="18"/>
  <c r="Q11" i="18"/>
  <c r="I11" i="18"/>
  <c r="Y10" i="18"/>
  <c r="Q10" i="18"/>
  <c r="I10" i="18"/>
  <c r="Y9" i="18"/>
  <c r="Q9" i="18"/>
  <c r="I9" i="18"/>
  <c r="Y8" i="18"/>
  <c r="S7" i="18"/>
  <c r="K7" i="18"/>
  <c r="Y4" i="18"/>
  <c r="K4" i="18"/>
  <c r="S3" i="18"/>
  <c r="K3" i="18"/>
  <c r="C3" i="18"/>
  <c r="Q4" i="15"/>
  <c r="M6" i="15"/>
  <c r="M7" i="15"/>
  <c r="M2" i="15"/>
  <c r="M3" i="15"/>
  <c r="M4" i="15"/>
  <c r="M5" i="15"/>
  <c r="S7" i="15"/>
  <c r="C7" i="15"/>
  <c r="W5" i="15"/>
  <c r="W4" i="15"/>
  <c r="O4" i="15"/>
  <c r="W3" i="15"/>
  <c r="O3" i="15"/>
  <c r="W8" i="15"/>
  <c r="O8" i="15"/>
  <c r="G8" i="15"/>
  <c r="W7" i="15"/>
  <c r="O7" i="15"/>
  <c r="G7" i="15"/>
  <c r="W6" i="15"/>
  <c r="O6" i="15"/>
  <c r="G6" i="15"/>
  <c r="U5" i="15"/>
  <c r="E5" i="15"/>
  <c r="U4" i="15"/>
  <c r="E4" i="15"/>
  <c r="U3" i="15"/>
  <c r="E3" i="15"/>
  <c r="U2" i="15"/>
  <c r="E2" i="15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K3" i="15"/>
  <c r="C3" i="15"/>
  <c r="C31" i="18" l="1"/>
  <c r="C32" i="18"/>
  <c r="C25" i="18"/>
  <c r="C23" i="18"/>
  <c r="C30" i="18"/>
  <c r="C27" i="18"/>
  <c r="C20" i="18" s="1"/>
  <c r="C24" i="18"/>
  <c r="M20" i="18"/>
  <c r="Q5" i="15"/>
  <c r="K20" i="18"/>
  <c r="Q3" i="15"/>
  <c r="Q2" i="15"/>
  <c r="Q7" i="15"/>
  <c r="Q8" i="15"/>
  <c r="C14" i="18"/>
  <c r="S20" i="18"/>
  <c r="U20" i="18"/>
  <c r="C11" i="15"/>
  <c r="K11" i="15"/>
  <c r="E11" i="15"/>
  <c r="G11" i="15"/>
  <c r="W11" i="15"/>
  <c r="S11" i="15"/>
  <c r="O11" i="15"/>
  <c r="E14" i="18"/>
  <c r="Y11" i="15"/>
  <c r="I11" i="15"/>
  <c r="W14" i="18"/>
  <c r="O20" i="18"/>
  <c r="W20" i="18"/>
  <c r="G20" i="18"/>
  <c r="Q20" i="18"/>
  <c r="Y20" i="18"/>
  <c r="U14" i="18"/>
  <c r="S14" i="18"/>
  <c r="K14" i="18"/>
  <c r="G14" i="18"/>
  <c r="M14" i="18"/>
  <c r="O14" i="18"/>
  <c r="I14" i="18"/>
  <c r="I24" i="18"/>
  <c r="I25" i="18"/>
  <c r="I30" i="18"/>
  <c r="I31" i="18"/>
  <c r="I32" i="18"/>
  <c r="I23" i="18"/>
  <c r="I26" i="18"/>
  <c r="I21" i="18"/>
  <c r="Q14" i="18"/>
  <c r="I27" i="18"/>
  <c r="I28" i="18"/>
  <c r="Y14" i="18"/>
  <c r="M11" i="15"/>
  <c r="U11" i="15"/>
  <c r="Q11" i="15" l="1"/>
  <c r="I2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Marynčáková Radmila</author>
  </authors>
  <commentList>
    <comment ref="D33" authorId="0" shapeId="0" xr:uid="{F8742862-64D5-4CB1-A732-40D91356926E}">
      <text>
        <r>
          <rPr>
            <b/>
            <sz val="9"/>
            <color indexed="81"/>
            <rFont val="Tahoma"/>
            <family val="2"/>
            <charset val="238"/>
          </rPr>
          <t>Marynčáková Radmila:</t>
        </r>
        <r>
          <rPr>
            <sz val="9"/>
            <color indexed="81"/>
            <rFont val="Tahoma"/>
            <family val="2"/>
            <charset val="238"/>
          </rPr>
          <t xml:space="preserve">
5339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Metelka Tomáš</author>
  </authors>
  <commentList>
    <comment ref="AJ3" authorId="0" shapeId="0" xr:uid="{ADC06A4C-FE91-4479-BB2C-096FA5DC7377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kvůli malé částce nerozpadáme</t>
        </r>
      </text>
    </comment>
    <comment ref="AL3" authorId="0" shapeId="0" xr:uid="{8855890E-BFF8-4266-8D53-17084AAB9FCC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kvůli malé částce nerozpadáme</t>
        </r>
      </text>
    </comment>
    <comment ref="A22" authorId="0" shapeId="0" xr:uid="{4F1632F2-1690-4493-B85A-54F598266C9D}">
      <text>
        <r>
          <rPr>
            <b/>
            <sz val="9"/>
            <color indexed="81"/>
            <rFont val="Tahoma"/>
            <family val="2"/>
            <charset val="238"/>
          </rPr>
          <t>Metelka Tomáš:</t>
        </r>
        <r>
          <rPr>
            <sz val="9"/>
            <color indexed="81"/>
            <rFont val="Tahoma"/>
            <family val="2"/>
            <charset val="238"/>
          </rPr>
          <t xml:space="preserve">
od r. 2025; předtím chytrý region</t>
        </r>
      </text>
    </comment>
  </commentList>
</comments>
</file>

<file path=xl/sharedStrings.xml><?xml version="1.0" encoding="utf-8"?>
<sst xmlns="http://schemas.openxmlformats.org/spreadsheetml/2006/main" count="1623" uniqueCount="827">
  <si>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</si>
  <si>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</si>
  <si>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</si>
  <si>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</si>
  <si>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příslušníků národnostních menšin žijících na území Moravskoslezského kraje</t>
  </si>
  <si>
    <t>Odvětví kultury celkem</t>
  </si>
  <si>
    <t>Odvětví regionálního rozvoje celkem</t>
  </si>
  <si>
    <t>Odvětví cestovního ruchu celkem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</si>
  <si>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</si>
  <si>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</si>
  <si>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na podporu financování běžných výdajů souvisejících s poskytováním sociálních služeb včetně realizace protidrogové politiky kraje</t>
  </si>
  <si>
    <t>Program pro poskytování návratných finančních výpomocí z Fondu sociálních služeb</t>
  </si>
  <si>
    <t>Odvětví sociálních věcí celkem</t>
  </si>
  <si>
    <t>Podpora vrcholového sportu v Moravskoslezském kraji</t>
  </si>
  <si>
    <t>Odvětví školství celkem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</si>
  <si>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</si>
  <si>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</si>
  <si>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</si>
  <si>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</si>
  <si>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</si>
  <si>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</si>
  <si>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</si>
  <si>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</si>
  <si>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</si>
  <si>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</si>
  <si>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</si>
  <si>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</si>
  <si>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</si>
  <si>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Obsah:</t>
  </si>
  <si>
    <t>str.</t>
  </si>
  <si>
    <t>Podpora hospicové péče</t>
  </si>
  <si>
    <t>v tis. Kč</t>
  </si>
  <si>
    <t>CELKEM</t>
  </si>
  <si>
    <t>Podpora vzdělávání a poradenství v oblasti životního prostředí</t>
  </si>
  <si>
    <t>Název akce</t>
  </si>
  <si>
    <t>Poznámka</t>
  </si>
  <si>
    <t>2019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</si>
  <si>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</si>
  <si>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</si>
  <si>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</si>
  <si>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</si>
  <si>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</si>
  <si>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</si>
  <si>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</si>
  <si>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>ODVĚTVÍ ŠKOLSTVÍ CELKEM</t>
  </si>
  <si>
    <t>ODVĚTVÍ ZDRAVOTNICTVÍ:</t>
  </si>
  <si>
    <t>ODVĚTVÍ ZDRAVOTNICTVÍ CELKEM</t>
  </si>
  <si>
    <t>Celkové výdaje
na akci</t>
  </si>
  <si>
    <t>2020</t>
  </si>
  <si>
    <t xml:space="preserve">Projekt je financován formou záloh. Výdaje jsou určeny na úhradu podílu kraje a neuznatelných výdajů. </t>
  </si>
  <si>
    <t>ODVĚTVÍ REGIONÁLNÍHO ROZVOJE:</t>
  </si>
  <si>
    <t>Prostředky na přípravu projektů</t>
  </si>
  <si>
    <t>ODVĚTVÍ REGIONÁLNÍHO ROZVOJE CELKEM</t>
  </si>
  <si>
    <t>ODVĚTVÍ ŽIVOTNÍHO PROSTŘEDÍ:</t>
  </si>
  <si>
    <t>ODVĚTVÍ ŽIVOTNÍHO PROSTŘEDÍ CELKEM</t>
  </si>
  <si>
    <t>Podíl MSK</t>
  </si>
  <si>
    <t>Evropské finanční zdroje
a státní rozpočet</t>
  </si>
  <si>
    <t>AKCE SPOLUFINANCOVANÉ Z EVROPSKÝCH FINANČNÍCH ZDROJŮ</t>
  </si>
  <si>
    <t>Daňové příjmy</t>
  </si>
  <si>
    <t>Nedaňové příjmy</t>
  </si>
  <si>
    <t>Kapitálové příjmy</t>
  </si>
  <si>
    <t>Přijaté dotace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</si>
  <si>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</si>
  <si>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</si>
  <si>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</si>
  <si>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</si>
  <si>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</si>
  <si>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</si>
  <si>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</si>
  <si>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</si>
  <si>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</si>
  <si>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</si>
  <si>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</si>
  <si>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</si>
  <si>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</si>
  <si>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</si>
  <si>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</si>
  <si>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</si>
  <si>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</si>
  <si>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</si>
  <si>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</si>
  <si>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</si>
  <si>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</si>
  <si>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</si>
  <si>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</si>
  <si>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</si>
  <si>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</si>
  <si>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</si>
  <si>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</si>
  <si>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</si>
  <si>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</si>
  <si>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</si>
  <si>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</si>
  <si>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</si>
  <si>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</si>
  <si>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</si>
  <si>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</si>
  <si>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</si>
  <si>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</si>
  <si>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</si>
  <si>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</si>
  <si>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</si>
  <si>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</si>
  <si>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</si>
  <si>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</si>
  <si>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</si>
  <si>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</si>
  <si>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</si>
  <si>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</si>
  <si>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</si>
  <si>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</si>
  <si>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</si>
  <si>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</si>
  <si>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</si>
  <si>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</si>
  <si>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</si>
  <si>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</si>
  <si>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</si>
  <si>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</si>
  <si>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</si>
  <si>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</si>
  <si>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</si>
  <si>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</si>
  <si>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Běžné výdaje na zastupitelstvo kraje a krajský úřad</t>
  </si>
  <si>
    <t>Činnost zastupitelstva</t>
  </si>
  <si>
    <t>VÝDAJE</t>
  </si>
  <si>
    <t>Požadavek na rozpočet kraje</t>
  </si>
  <si>
    <t>Program na podporu dobrovolných hasičů</t>
  </si>
  <si>
    <t>Program podpory aktivit v oblasti kultury v Moravskoslezském kraji</t>
  </si>
  <si>
    <t>Rekonstrukce a výstavba Domova Březiny</t>
  </si>
  <si>
    <t>Rozpočet 2019</t>
  </si>
  <si>
    <t>Příspěvek na provoz příspěvkovým organizacím</t>
  </si>
  <si>
    <t>Položka</t>
  </si>
  <si>
    <t>Název položky</t>
  </si>
  <si>
    <t>Příjem
(v tis. Kč)</t>
  </si>
  <si>
    <t>Komentář</t>
  </si>
  <si>
    <t>Daň z příjmů fyzických osob placená plátci (ze závislé činnosti a funkčních požitků) - na základě zákona č. 243/2000 Sb., o rozpočtovém určení daní.</t>
  </si>
  <si>
    <t>Daň z příjmů fyzických osob placená poplatníky (ze samostatné výdělečné činnosti) - na základě zákona č. 243/2000 Sb., o rozpočtovém určení daní.</t>
  </si>
  <si>
    <t>Daň z příjmů právnických osob - na základě zákona č. 243/2000 Sb., o rozpočtovém určení daní.</t>
  </si>
  <si>
    <t>Daň z příjmů právnických osob za kraj - na základě zákona č. 243/2000 Sb., o rozpočtovém určení daní.</t>
  </si>
  <si>
    <t>Daň z přidané hodnoty -  na základě zákona č. 243/2000 Sb., o rozpočtovém určení daní.</t>
  </si>
  <si>
    <t>Daňové příjmy celkem</t>
  </si>
  <si>
    <t>Příjmy z refakturovaných nákladů za dodávky energií a poskytnuté služby související s užíváním nebytových prostor v budovách krajského úřadu cizími subjekty na základě uzavřených smluv.</t>
  </si>
  <si>
    <t>Zpracování posudků EIA - příjem kraje od žadatele za zprostředkování zpracování posudku krajským úřadem na základě zákona č. 100/2001 Sb., o posuzování vlivů na životní prostředí.</t>
  </si>
  <si>
    <t>Ostatní příjmy z vlastní činnosti</t>
  </si>
  <si>
    <t>Příjmy za věcná břemena - dle obecně platných právních předpisů.</t>
  </si>
  <si>
    <t>Úroky - přijaté úroky z bankovních účtů zřízených Moravskoslezským krajem.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</si>
  <si>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</si>
  <si>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</si>
  <si>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Ostatní nedaňové příjmy jinde nezařazené</t>
  </si>
  <si>
    <t>Splátky půjčených prostředků na základě operačních smluv s Fondy rozvoje měst.</t>
  </si>
  <si>
    <t>Splátky půjčených prostředků od obcí</t>
  </si>
  <si>
    <t>Splátky půjčených prostředků od příspěvkových organizací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</si>
  <si>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</si>
  <si>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Nedaňové příjmy celkem</t>
  </si>
  <si>
    <t>Prodej pozemků - v souladu s požadavky Moravskoslezského kraje a § 36 zákona č. 129/2000 Sb., o krajích.</t>
  </si>
  <si>
    <t>Kapitálové příjmy celkem</t>
  </si>
  <si>
    <t>Neinvestiční přijaté transfery ze státního rozpočtu v rámci souhrnného dotačního vztahu</t>
  </si>
  <si>
    <t>Souhrnný dotační vztah - na základě zákona o státním rozpočtu.</t>
  </si>
  <si>
    <t>Ostatní neinvestiční přijaté transfery ze státního rozpočtu</t>
  </si>
  <si>
    <t>Dopravní obslužnost - drážní doprava</t>
  </si>
  <si>
    <t>Neinvestiční přijaté transfery od obcí</t>
  </si>
  <si>
    <t>Dopravní obslužnost - linková doprava</t>
  </si>
  <si>
    <t>Ostatní investiční přijaté transfery ze státního rozpočtu</t>
  </si>
  <si>
    <t>Investiční přijaté transfery od obcí</t>
  </si>
  <si>
    <t>Přijaté dotace celkem</t>
  </si>
  <si>
    <t>PŘÍJMY CELKEM</t>
  </si>
  <si>
    <t>Neinvestiční přijaté transfery od krajů</t>
  </si>
  <si>
    <t>Zateplení a stavební úpravy správní budovy, pavilonu E a F Domova Březiny</t>
  </si>
  <si>
    <t>Rozpočet 2020</t>
  </si>
  <si>
    <t>Program na podporu aktivit sociálního podnikání v Moravskoslezském kraji</t>
  </si>
  <si>
    <t>Podpora včelařství v Moravskoslezském kraji</t>
  </si>
  <si>
    <t>2023</t>
  </si>
  <si>
    <t>ODVĚTVÍ ÚZEMNÍHO PLÁNOVÁNÍ A STAVEBNÍHO ŘÁDU:</t>
  </si>
  <si>
    <t>ODVĚTVÍ ÚZEMNÍHO PLÁNOVÁNÍ A STAVEBNÍHO ŘÁDU CELKEM</t>
  </si>
  <si>
    <t>Pronájem podniku společnost Letiště Ostrava a. s. - na základě usnesení rady kraje č.43/3413 z 28.6.2004 a smlouvy č. 0671/2004/POR včetně dodatků.</t>
  </si>
  <si>
    <t>Pronájem podniku Nemocnice v Novém Jičíně - na základě usnesení zastupitelstva č.21/1723 ze dne 21. 9. 2011 a smlouvy o nájmu podniku č.02262/2011/ZDR.</t>
  </si>
  <si>
    <t>Doprava</t>
  </si>
  <si>
    <t>Program na podporu přípravy projektové dokumentace 2019</t>
  </si>
  <si>
    <t>Podpora turistických informačních center v Moravskoslezském kraji</t>
  </si>
  <si>
    <t>Program na podporu technických atraktivit</t>
  </si>
  <si>
    <t>Finanční prostředky jsou určeny na kofinancování projektu. Žadatelem o podporu u poskytovatele dotace je příspěvková organizace.</t>
  </si>
  <si>
    <t>ODVĚTVÍ DOPRAVY CELKEM</t>
  </si>
  <si>
    <t>ODVĚTVÍ DOPRAVY:</t>
  </si>
  <si>
    <t>2024</t>
  </si>
  <si>
    <t>Rekonstrukce budovy a spojovací chodby Máchova (Domov Duha, příspěvková organizace, Nový Jičín)</t>
  </si>
  <si>
    <t>Příjmy z inkasovaných dobropisů, náhrady poštovného za ztracené nebo nedoručené zásilky.</t>
  </si>
  <si>
    <t>Správní poplatky - poplatky vybírané převážně na základě zákona č. 634/2004 Sb., o správních poplatcích, zákona č. 160/1992 Sb., o zdravotní péči v nestátních zdravotnických zařízeních, zákona č. 13/1997 Sb., o pozemních komunikacích, zákona 254/2001 Sb. o vodách a o změně některých zákonů (vodní zákon) a zákona č. 183/2006 o územním plánování a stavebním řádu (stavební zákon).</t>
  </si>
  <si>
    <t>Poplatek za odebrané množství podzemní vody dle § 88 zákona 254/2001 Sb. o vodách a o změně některých zákonů (vodní zákon) - část poplatků za odběr podzemní vody ve výši 50 % je příjmem rozpočtu kraje, na jehož území se odběr podzemní vody uskutečňuje.</t>
  </si>
  <si>
    <t>REPRODUKCE MAJETKU KRAJE VYJMA AKCÍ SPOLUFINANCOVANÝCH Z EVROPSKÝCH FINANČNÍCH ZDROJŮ</t>
  </si>
  <si>
    <t>CELKEM ZA AKCE SPOLUFINANCOVANÉ Z EVROPSKÝCH FINANČNÍCH ZDROJŮ</t>
  </si>
  <si>
    <t>CELKEM ZA AKCE REPRODUKCE MAJETKU KRAJE VYJMA AKCÍ SPOLUFINANCOVANÝCH Z EVROPSKÝCH FINANČNÍCH ZDROJŮ</t>
  </si>
  <si>
    <t>Vratky návratných finančních výpomocí poskytnutých příspěvkovým organizacím v odvětví sociálních věcí na zajištění běžného chodu organizací.</t>
  </si>
  <si>
    <t>2021</t>
  </si>
  <si>
    <t>Rozpočet 2021</t>
  </si>
  <si>
    <t>Přijaté sankční platby - pokuty podle zákona č. 117/2001 Sb., o veřejných sbírkách.</t>
  </si>
  <si>
    <t>Úprava lyžařských běžeckých tras v Moravskoslezském kraji 2022/2023, 2023/2024 a 2024/2025</t>
  </si>
  <si>
    <t>Podpora rozvoje cykloturistiky v Moravskoslezském kraji 2022+</t>
  </si>
  <si>
    <t>Podpora významných sportovních akcí v Moravskoslezském kraji</t>
  </si>
  <si>
    <t>Podpora volnočasových aktivit pro mládež</t>
  </si>
  <si>
    <t>Podpora projektů ve zdravotnictví</t>
  </si>
  <si>
    <t>ČÍSLO AKCE</t>
  </si>
  <si>
    <t>2025</t>
  </si>
  <si>
    <t>Centrum veřejných energetiků (Moravskoslezské energetické centrum, příspěvková organizace, Ostrava)</t>
  </si>
  <si>
    <t>Žerotínský zámek – centrum relaxace a poznání</t>
  </si>
  <si>
    <t>Chráněné bydlení Okrajová</t>
  </si>
  <si>
    <t>Podpora procesu plánování sociálních služeb na území MSK</t>
  </si>
  <si>
    <t>Celkem Územní plánování</t>
  </si>
  <si>
    <t>Příjmy z pronájmu budov nebo prostor v budovách ve vlastnictví kraje.</t>
  </si>
  <si>
    <t>Příjmy za odebrané stravovací služby poskytnuté zaměstnancům v jídelně a bufetu krajského úřadu, příjmy z inkasovaných dobropisů, vratky přeplatků záloh, náhrady za náklady soudního nebo správního řízení, náhrady za škody způsobené zaměstnanci.</t>
  </si>
  <si>
    <t>Prodej budov a staveb - v souladu s požadavky Moravskoslezského kraje a § 36 zákona č. 129/2000 Sb., o krajích.</t>
  </si>
  <si>
    <t>Poplatky za znečišťování ovzduší - poplatky vybírané na základě zákona č. 201/2012 Sb., o ochraně ovzduší, ve znění pozdějších předpisů. Výnos z poplatků za znečišťování ve výši 25 % je příjmem kraje, na jehož území se stacionární zdroj nachází.</t>
  </si>
  <si>
    <t>Rozpočet 2022</t>
  </si>
  <si>
    <t>2022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</si>
  <si>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</si>
  <si>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</si>
  <si>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</si>
  <si>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</si>
  <si>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kraj, s výjimkou daně vybírané srážkou podle zvláštní sazby daně</t>
  </si>
  <si>
    <t>Příjem z daně z přidané hodnoty</t>
  </si>
  <si>
    <t>Příjem z poplatků za znečišťování ovzduší</t>
  </si>
  <si>
    <t>Příjem z poplatku za odebrané množství podzemní vody</t>
  </si>
  <si>
    <t>Příjem ze správních poplatků</t>
  </si>
  <si>
    <t>Příjem z pronájmu nebo pachtu pozemků</t>
  </si>
  <si>
    <t>Příjem z pronájmu nebo pachtu ostatních nemovitých věcí a jejich částí</t>
  </si>
  <si>
    <t>Příjem z úroků</t>
  </si>
  <si>
    <t>Příjem sankčních plateb přijatých od státu, obcí a krajů</t>
  </si>
  <si>
    <t>Přijaté neinvestiční příspěvky a náhrady</t>
  </si>
  <si>
    <t>Splátky půjčených prostředků od nefinančních podnikatelů - právnických osob</t>
  </si>
  <si>
    <t>Splátky půjčených prostředků od obecně prospěšných společností a obdobných osob</t>
  </si>
  <si>
    <t>Příjem z prodeje pozemků</t>
  </si>
  <si>
    <t>Příjem z prodeje ostatních nemovitých věcí a jejich částí</t>
  </si>
  <si>
    <t>Neinvestiční přijaté transfery od mezinárodních organizací a některých zahraničních orgánů a právnických osob</t>
  </si>
  <si>
    <t>Program na podporu přípravy projektové dokumentace 2021</t>
  </si>
  <si>
    <t>Podpora provozu venkovských prodejen v Moravskoslezském kraji</t>
  </si>
  <si>
    <t>Podpora primární péče</t>
  </si>
  <si>
    <t>Podpora péče o duševní zdraví</t>
  </si>
  <si>
    <t>×</t>
  </si>
  <si>
    <t>Podpora aktivit v oblasti prevence rizikového chování</t>
  </si>
  <si>
    <t>2026</t>
  </si>
  <si>
    <t>Otevřený úřad – otevřené rozhraní pro přístup k datům</t>
  </si>
  <si>
    <t>Realizace bezpečnostních opatření podle zákona o kybernetické bezpečnosti II</t>
  </si>
  <si>
    <t>Rekonstrukce a modernizace silnice II/442 VD Kružberk – Svatoňovice – Čermná ve Slezsku</t>
  </si>
  <si>
    <t>Silnice II/483 průtah Frenštát p. R. – hr. okresu FM</t>
  </si>
  <si>
    <t>Silnice III/0578 hraniční most ev. č. 0578-2 Vávrovice - Wiechowice</t>
  </si>
  <si>
    <t>Silnice III/4593 hraniční most ev. č. 4593-3 Úvalno - Branice</t>
  </si>
  <si>
    <t>Příprava staveb a příprava vypořádání pozemků (Správa silnic Moravskoslezského kraje, příspěvková organizace, Ostrava)</t>
  </si>
  <si>
    <t>POHO Park Gabriela</t>
  </si>
  <si>
    <t>Městečko bezpečí</t>
  </si>
  <si>
    <t>Černá kostka – Centrum digitalizace, vědy a inovací</t>
  </si>
  <si>
    <t>Digitalizace kulturního dědictví Moravskoslezského kraje</t>
  </si>
  <si>
    <t>Nová Horka - centrum tradic a zážitků</t>
  </si>
  <si>
    <t>Novostavba depozitáře Muzeum v Bruntále</t>
  </si>
  <si>
    <t>Rekonstrukce depozitáře Muzea Beskyd Frýdek-Místek</t>
  </si>
  <si>
    <t>Smart akcelerátor MSK</t>
  </si>
  <si>
    <t>Podpora (Ne)formální péče v Moravskoslezském kraji</t>
  </si>
  <si>
    <t>Podpora duše III</t>
  </si>
  <si>
    <t>Podpora návazných aktivit sociálních služeb v MSK</t>
  </si>
  <si>
    <t>Žít normálně II</t>
  </si>
  <si>
    <t>Modernizace zázemí pro výuku zemědělských a polygrafických oborů na Albrechtově SŠ Český Těšín</t>
  </si>
  <si>
    <t>Novostavba a přístavba objektu dílen a učeben praktického vyučování ve Středním odborném učilišti stavebním Opava</t>
  </si>
  <si>
    <t>Novostavba dílen a venkovní sportoviště pro Střední školu technickou Opava</t>
  </si>
  <si>
    <t>Rozšíření a modernizace výukových prostor na JG PT Ostrava-Poruba</t>
  </si>
  <si>
    <t>TPA – Inovační centrum pro transformaci vzdělávání</t>
  </si>
  <si>
    <t>Výstavba výjezdového stanoviště Nový Jičín</t>
  </si>
  <si>
    <t>Kotlíkové dotace v Moravskoslezském kraji – 4. grantové schéma</t>
  </si>
  <si>
    <t>Rozpočet 2023</t>
  </si>
  <si>
    <t>Příjem z finančního vypořádání mezi kraji, obcemi a dobrovolnými svazky obcí</t>
  </si>
  <si>
    <t>Příjem od obce Hrčava, která vrací nečerpanou dotaci na realizaci projektu "Zlepšení dopravní dostupnosti v oblasti přírodních a kulturních aktivit „Trojmezí"" dle splátkového kalendáře.</t>
  </si>
  <si>
    <t>Dotační program - Podpora provozu venkovských prodejen v Moravskoslezském kraji</t>
  </si>
  <si>
    <t>Akce</t>
  </si>
  <si>
    <t>ORJ</t>
  </si>
  <si>
    <t>Modernizace výuky informačních technologií III</t>
  </si>
  <si>
    <t>Podpora obnovy a rozvoje venkova Moravskoslezského kraje 2024</t>
  </si>
  <si>
    <t>Program na podporu přípravy projektové dokumentace 2022</t>
  </si>
  <si>
    <t>Program na podporu stáží žáků a studentů ve firmách 2024</t>
  </si>
  <si>
    <t>Podpora znevýhodněných oblastí Moravskoslezského kraje 2024</t>
  </si>
  <si>
    <t>Podpora systému destinačního managementu turistických oblastí 2024-2025</t>
  </si>
  <si>
    <t>Podpora rozvoje cykloturistiky v Moravskoslezském kraji 2024+</t>
  </si>
  <si>
    <t xml:space="preserve">Program na podporu komunitní práce a neinvestičních aktivit z oblasti prevence kriminality </t>
  </si>
  <si>
    <t>Podpora návrhu řešení nakládání s vodami</t>
  </si>
  <si>
    <t>2027</t>
  </si>
  <si>
    <t>Rekonstrukce a modernizace silnice II/443 Štáblovice – Otice</t>
  </si>
  <si>
    <t>Rekonstrukce a modernizace silnice II/472 Karviná, ul. Borovského</t>
  </si>
  <si>
    <t>Rekonstrukce a modernizace silnice II/478 Šenov ul. Šenovská/Datyňská</t>
  </si>
  <si>
    <t>Rekonstrukce silnic II/445 a II/370 (Rýmařov)</t>
  </si>
  <si>
    <t>Rekonstrukce silnice II/445 Vrbno p. Pradědem – Heřmanovice</t>
  </si>
  <si>
    <t>Silnice II/442 Bohdanovice - Hořejší Kunčice</t>
  </si>
  <si>
    <t>Silnice III/01129 Opava - Pilszcz</t>
  </si>
  <si>
    <t xml:space="preserve">Juraj a Ondráš – zbojnické legendy </t>
  </si>
  <si>
    <t xml:space="preserve">Restaurování kulturního dědictví Moravskoslezského kraje </t>
  </si>
  <si>
    <t xml:space="preserve">Těšínské divadelní a kulturní centrum </t>
  </si>
  <si>
    <t>ODVĚTVÍ CESTOVNÍHO RUCHU:</t>
  </si>
  <si>
    <t>Cyrilometodějská stezka - produkt udržitelného cestovního ruchu</t>
  </si>
  <si>
    <t>Cyrilometodějská stezka - putování po stopách Jana Pavla II.</t>
  </si>
  <si>
    <t>ODVĚTVÍ CESTOVNÍHO RUCHU CELKEM</t>
  </si>
  <si>
    <t xml:space="preserve">Chráněné bydlení ul. Karasova v Ostravě </t>
  </si>
  <si>
    <t>Rekonstrukce a výstavba objektů ve Skotnici</t>
  </si>
  <si>
    <t>Rekonstrukce objektu organizace Nový domov, příspěvková organizace vedoucí k energetickým úsporám</t>
  </si>
  <si>
    <t>Transformace - DOZP a zázemí organizace Opava</t>
  </si>
  <si>
    <t>Výstavba domků pro osoby s atypickými potřebami (Náš svět, Pržno)</t>
  </si>
  <si>
    <t>Výstavba domova se zvláštním režimem (Domov Hortenzie, Frenštát)</t>
  </si>
  <si>
    <t>Implementace Dlouhodobého záměru Moravskoslezského kraje</t>
  </si>
  <si>
    <t>Modernizace Školního statku Opava III</t>
  </si>
  <si>
    <t>Zřízení nového gastrocentra</t>
  </si>
  <si>
    <t>Digitální technická mapa Moravskoslezského kraje II</t>
  </si>
  <si>
    <t>Příjem z poskytování služeb, a výrobků, prací, výkonů a práv</t>
  </si>
  <si>
    <t>Příjmy z poplatků za kopírování.</t>
  </si>
  <si>
    <t>Příjmy z prodeje příkazových bloků.</t>
  </si>
  <si>
    <t>Příjem sankčních plateb přijatých od jiných osob</t>
  </si>
  <si>
    <t>Návratné finanční výpomoci u odvětví sociálních věcí poskytnutých z Fondu sociálních služeb.</t>
  </si>
  <si>
    <t>Vratky návratných finančních výpomocí poskytnutých příspěvkovým organizacím v odvětví školství na předfinancování podílů státu a evropské unie při realizaci projektů spolufinancovaných z evropských finančních zdrojů.</t>
  </si>
  <si>
    <t>Splátky půjčených prostředků od ostatních zřízených a podobných osob</t>
  </si>
  <si>
    <t>Neinvestiční přijaté transfery z všeobecné pokladní správy státního rozpočtu</t>
  </si>
  <si>
    <t>Kotlíkové dotace v Moravskoslezském kraji – 5. grantové schéma</t>
  </si>
  <si>
    <t>Potravinová pomoc dětem v sociální nouzi z prostředků OPZ+ v Moravskoslezském kraji</t>
  </si>
  <si>
    <t>Podpora činnosti sekretariátu a zajištění chodu Regionální stálé konference Moravskoslezského kraje V</t>
  </si>
  <si>
    <t>Dotace z Ministerstva školství, mládeže a tělovýchovy ČR</t>
  </si>
  <si>
    <t>Individuální dotace - Podpora přípravy strategických projektů</t>
  </si>
  <si>
    <t>Technická pomoc - Podpora aktivit v rámci Programu Interreg Česko – Polsko 2021–2027</t>
  </si>
  <si>
    <t>Dotace z Všeobecné pokladní správy.</t>
  </si>
  <si>
    <t>Rozpočet 2024</t>
  </si>
  <si>
    <t>Těšínské divadelní a kulturní centrum</t>
  </si>
  <si>
    <t xml:space="preserve">Digitalizace kulturního dědictví Moravskoslezského kraje </t>
  </si>
  <si>
    <t>Výstavba výjezdového stanoviště v Novém Jičíně</t>
  </si>
  <si>
    <t>Výstavba sportovní haly pro Gymnázium a SPŠEI ve Frenštátě pod Radhoštěm</t>
  </si>
  <si>
    <t>Schválený rozpočet - státní dotace</t>
  </si>
  <si>
    <t>Samosprávné činnosti</t>
  </si>
  <si>
    <t>Samosprávné činnosti - státní dotace</t>
  </si>
  <si>
    <t>Ostatní přijaté dotace - státní dotace</t>
  </si>
  <si>
    <t>Rozborové tabulky a grafy k návrhu rozpočtu kraje
na rok 2025</t>
  </si>
  <si>
    <t>Přehled dotačních programů v návrhu rozpočtu kraje na rok 2025</t>
  </si>
  <si>
    <t>Přehled akcí financovaných z úvěrových zdrojů v návrhu rozpočtu kraje na rok 2025</t>
  </si>
  <si>
    <t>Přehled příjmů zařazených v návrhu rozpočtu kraje na rok 2025</t>
  </si>
  <si>
    <t>Graf č. 1 - Rozpočet Moravskoslezského kraje v letech 2021 až 2024, návrh rozpočtu Moravskoslezského kraje na rok 2025</t>
  </si>
  <si>
    <t>Graf č. 2 - Schválený rozpočet příjmů Moravskoslezského kraje v letech 2021 až 2024, návrh rozpočtu příjmů Moravskoslezského kraje na rok 2025 v členění na přijaté dotace, daňové, nedaňové a kapitálové příjmy</t>
  </si>
  <si>
    <t>Graf č. 3 - Struktura návrhu rozpočtu Moravskoslezského kraje na rok 2025 - VÝDAJE</t>
  </si>
  <si>
    <t>Graf č. 4 - Struktura návrhu rozpočtu Moravskoslezského kraje na rok 2025 - Objemy výdajů na akce spolufinancované z evropských finančních zdrojů pro rok 2025 v členění dle odvětví</t>
  </si>
  <si>
    <t>Schválený rozpočet 2024</t>
  </si>
  <si>
    <t>Upravený rozpočet 9/2024</t>
  </si>
  <si>
    <t>Čerpání
k 9/2024</t>
  </si>
  <si>
    <t>Rok 2025</t>
  </si>
  <si>
    <t>% 2025/
SR 2024</t>
  </si>
  <si>
    <t>Dotační programy nezařazené do rozpočtu na rok 2025 (odvětví kultury)</t>
  </si>
  <si>
    <t>Dotační programy nezařazené do rozpočtu na rok 2025 (odvětví regionálního rozvoje)</t>
  </si>
  <si>
    <t>Dotační programy nezařazené do rozpočtu na rok 2025 (odvětví cestovního ruchu)</t>
  </si>
  <si>
    <t>Dotační programy nezařazené do rozpočtu na rok 2025 (odvětví životního prostředí)</t>
  </si>
  <si>
    <t>Podpora obnovy a rozvoje venkova Moravskoslezského kraje 2025</t>
  </si>
  <si>
    <t>Program na podporu přípravy projektové dokumentace 2025</t>
  </si>
  <si>
    <t>Program na podporu přípravy projektové dokumentace 2023</t>
  </si>
  <si>
    <t>Podpora vědy a výzkumu v Moravskoslezském kraji 2025</t>
  </si>
  <si>
    <t>Podpora vědy a výzkumu v Moravskoslezském kraji 2022</t>
  </si>
  <si>
    <t>Program na podporu financování akcí s podporou EU</t>
  </si>
  <si>
    <t>Program na podporu stáží žáků a studentů ve firmách 2025</t>
  </si>
  <si>
    <t>Podpora znevýhodněných oblastí Moravskoslezského kraje 2025</t>
  </si>
  <si>
    <t>Podpora znevýhodněných oblastí Moravskoslezského kraje 2022</t>
  </si>
  <si>
    <t>Úprava lyžařských běžeckých tras v Moravskoslezském kraji 2025/2026 a 2026/2027</t>
  </si>
  <si>
    <t>Podpora infrastruktury a propagace cestovního ruchu v Moravskoslezském kraji 2025</t>
  </si>
  <si>
    <t>Podpora infrastruktury a propagace cestovního ruchu v Moravskoslezském kraji 2024</t>
  </si>
  <si>
    <t>Podpora systému destinačního managementu turistických oblastí 2025-2026</t>
  </si>
  <si>
    <t>Podpora rozvoje cykloturistiky v Moravskoslezském kraji 2025+</t>
  </si>
  <si>
    <t>Podpora kempování v Moravskoslezském kraji 2025</t>
  </si>
  <si>
    <t>Podpora kempování v Moravskoslezském kraji 2024</t>
  </si>
  <si>
    <t>PŘEHLED DOTAČNÍCH PROGRAMŮ V NÁVRHU ROZPOČTU KRAJE NA ROK 2025 (v tis. Kč)</t>
  </si>
  <si>
    <t>Program na podporu aktivního stárnutí v Moravskoslezském kraji</t>
  </si>
  <si>
    <t>Program podpory činností v oblasti prorodinných aktivit, neformální péče, prevence, dobrovolnictví a navazujících činností v sociálních službách</t>
  </si>
  <si>
    <t>Program na podporu významných aktivit v sociální oblasti</t>
  </si>
  <si>
    <t>PŘEHLED PŘÍJMŮ ZAŘAZENÝCH V NÁVRHU ROZPOČTU KRAJE NA ROK 2025 (v tis. Kč)</t>
  </si>
  <si>
    <t>Daň z příjmů fyzických osob vybíraná srážkou - na základě zákona č.243/2000 Sb., o rozpočtovém určení daní.</t>
  </si>
  <si>
    <t>Příjmy z úhrad za dobývání nerostů a poplatků za geologické práce</t>
  </si>
  <si>
    <t>Část výnosů úhrady z vydobytých nerostů, které jsou příjmem kraje a může být použita pouze k odstranění přímých i nepřímých škod způsobených v důsledku dobývání ložisek a na revitalizaci pozemků.  Na základě zákona č. 349/2023 Sb. - Zákon, kterým se mění některé zákony v souvislosti s konsolidací veřejných rozpočtů</t>
  </si>
  <si>
    <t>Příjem z propagace Moravskoslezského kraje a statutárního města Ostravy prostřednictvím leteckého dopravce.</t>
  </si>
  <si>
    <t>Příjem z pronájmu pozemku na základě smlouvy č.  00499/2021/IM a z pachtovného za pozemek v obci Petřvald nabytého do vlastnictví kraje na základě kupní smlouvy č. 02566/2022/IM.</t>
  </si>
  <si>
    <t>Příjem z pachtovného Průmyslové zóny Nošovice na základě smlouvy 04105/2016/RRC a nájemného na základě smlouvy 08180/2019/IM.</t>
  </si>
  <si>
    <t>Příjem z pronájmu prostor v objektu Integrovaného bezpečnostního centra ČR od Hasičského záchranného sboru MSK a z umístění anténního systému od společnosti T-Mobile Czech Republic a.s. a Vantage Towers s.r.o.</t>
  </si>
  <si>
    <t>Příjem z pronájmu nebo pachtu movitých věcí</t>
  </si>
  <si>
    <t>Příjmy z pronájmu inventáře ve vlastnictví kraje.</t>
  </si>
  <si>
    <t>Příjem z pojistných plnění</t>
  </si>
  <si>
    <t>Příjem z pojistné události - požár v budově Obchodní akademie, Český Těšín, příspěvková organizace.</t>
  </si>
  <si>
    <t>Příjmy z inkasovaných úhrad nákladů řízení k vyměřeným pokutám.</t>
  </si>
  <si>
    <t>Příjmy z propadlých kaucí od dopravců.</t>
  </si>
  <si>
    <t>Splátky jistin půjčených prostředků od obcí v rámci Jessica.</t>
  </si>
  <si>
    <t>Ostatní splátky půjčených prostředků od rozpočtů územní úrovně</t>
  </si>
  <si>
    <t>Splátky jistin půjčených prostředků od dobrovolného svazku obcí v rámci Jessica</t>
  </si>
  <si>
    <t>Vratka návratné finanční výpomoci poskytnuté příspěvkové organizaci Moravskoslezské energetické centrum, Ostrava v odvětví životní prostředí na předfinancování podílu státu a evropské unie při realizaci projektu "Centrum veřejných energetiků."</t>
  </si>
  <si>
    <t>Individuální návratná finanční výpomoc u odvětví sociálních věcí poskytnutá z Fondu sociálních služeb. V případě registrovaných poskytovatelů soc. služeb v období od počátku roku do doby poskytnutí fin. prostředků v rámci dotačního programu z kapitoly 313 - MPSV státního rozpočtu.</t>
  </si>
  <si>
    <t>Dotace z Ministerstva práce a sociálních věcí ČR</t>
  </si>
  <si>
    <t>Projekt technické pomoci – Operační program Spravedlivá transformace</t>
  </si>
  <si>
    <t>Vouchery pro podnikatele v Moravskoslezském kraji – 1. výzva</t>
  </si>
  <si>
    <t>Juraj a Ondráš – zbojnické legendy</t>
  </si>
  <si>
    <t>Energetické úspory VI. Etapa - SŠTO Havířov - Šumbark</t>
  </si>
  <si>
    <t>Gastro vybavení Březiny</t>
  </si>
  <si>
    <t>Instalace FVE - Gymnázium a Střední odborná škola, Rýmařov</t>
  </si>
  <si>
    <t>Instalace FVE - Gymnázium Josefa Božka, Český Těšín</t>
  </si>
  <si>
    <t>Instalace FVE - Gymnázium Mikuláše Koperníka, Bílovec</t>
  </si>
  <si>
    <t>Instalace FVE - Gymnázium, Třinec</t>
  </si>
  <si>
    <t>Instalace FVE - Hotelová škola, Frenštát pod Radhoštěm</t>
  </si>
  <si>
    <t>Instalace FVE - Muzeum Těšínska, historická budova Český Těšín</t>
  </si>
  <si>
    <t>Instalace FVE - Nemocnice Karviná - Ráj</t>
  </si>
  <si>
    <t>Instalace FVE - Nemocnice Třinec</t>
  </si>
  <si>
    <t>Instalace FVE - oblast Frýdek-Místek</t>
  </si>
  <si>
    <t>Instalace FVE - oblast Krnov</t>
  </si>
  <si>
    <t>Instalace FVE - oblast Nový Jičín</t>
  </si>
  <si>
    <t>Instalace FVE - oblast Opava</t>
  </si>
  <si>
    <t>Instalace FVE - oblast Ostrava I</t>
  </si>
  <si>
    <t>Instalace FVE - oblast Ostrava II</t>
  </si>
  <si>
    <t>Instalace FVE - oblast Ostrava III</t>
  </si>
  <si>
    <t>Instalace FVE - oblast Ostrava IV</t>
  </si>
  <si>
    <t>Instalace FVE - Střední odborná škola, Frýdek-Místek</t>
  </si>
  <si>
    <t>Instalace FVE - Střední škola společného stravování, Ostrava-Hrabůvka</t>
  </si>
  <si>
    <t>Instalace FVE - Střední škola techniky a služeb Karviná</t>
  </si>
  <si>
    <t>Instalace FVE - Základní škola a Mateřská škola, Ostrava - Poruba, Ukrajinská 19</t>
  </si>
  <si>
    <t>Instalace FVE - Zdravotnická záchranná služba Moravskoslezského kraje, Bruntál</t>
  </si>
  <si>
    <t>Instalace FVE - Zdravotnická záchranná služba Moravskoslezského kraje, Havířov</t>
  </si>
  <si>
    <t>Instalace FVE metodou Design &amp; Build – GaSPŠ, Frenštát pod Radhoštěm</t>
  </si>
  <si>
    <t>Instalace FVE metodou Design &amp; Build - Náš svět</t>
  </si>
  <si>
    <t>Rekonstrukce kuchyně_gymnázium Bílovec</t>
  </si>
  <si>
    <t>Rekonstrukce kuchyně_MŠL Ostrava-Poruba</t>
  </si>
  <si>
    <t>Transformace – DOZP Kravaře</t>
  </si>
  <si>
    <t>Výstavba sportovní haly pro Gymnázium a SPŠEI ve Frenštátě pod Radhoštěm (Gymnázium a Střední průmyslová škola elektrotechniky a informatiky, Frenštát pod Radhoštěm, příspěvková organizace)</t>
  </si>
  <si>
    <t>Skutečné výdaje
před r. 2024</t>
  </si>
  <si>
    <t>Předpokl. výdaje
r. 2024</t>
  </si>
  <si>
    <t>2028</t>
  </si>
  <si>
    <t>po r. 2028</t>
  </si>
  <si>
    <t xml:space="preserve">Most Starý Bohumín - Chalupki přes řeku Odru </t>
  </si>
  <si>
    <t>Přeložka silnice II/443 obchvat Otic</t>
  </si>
  <si>
    <t>Rekonstrukce a modernizace silnice II/442 průtah Heřmánky</t>
  </si>
  <si>
    <t>Rekonstrukce a modernizace silnice II/452 Karlovice - Světlá Hora</t>
  </si>
  <si>
    <t>Celkové výdaje uvedeny jen pro rok 2025.</t>
  </si>
  <si>
    <t>Celkem  Doprava</t>
  </si>
  <si>
    <t>ODVĚTVÍ INFORMATIKY A KYBERNETICKÉ BEZPEČNOSTI:</t>
  </si>
  <si>
    <t>Centrální zálohování dat nemocničních informačních systémů v Hospital Cloudu</t>
  </si>
  <si>
    <t>ODVĚTVÍ INFORMATIKY A KYBERNETICKÉ BEZPEČNOSTI CELKEM</t>
  </si>
  <si>
    <t>Celkem  Krajský úřad</t>
  </si>
  <si>
    <t>Celkem  Krizové řízení</t>
  </si>
  <si>
    <t>Filmové vouchery v Moravskoslezském kraji</t>
  </si>
  <si>
    <t>Zámek Bruntál - revitalizace objektu</t>
  </si>
  <si>
    <t>Celkem  Kultura</t>
  </si>
  <si>
    <t xml:space="preserve">Projekt IndusTour - Visiting INDUStrial companies and sites as a growing lever to diversify TOURism policies </t>
  </si>
  <si>
    <t>Celkem Cestovní ruch</t>
  </si>
  <si>
    <t>Celkem  Regionální rozvoj</t>
  </si>
  <si>
    <t>Novostavba dětského centra Pluto</t>
  </si>
  <si>
    <t>Podpora komunitní práce v MSK III</t>
  </si>
  <si>
    <t>Podpora komunitních služeb chráněného bydlení v MSK – východ</t>
  </si>
  <si>
    <t>Podpora komunitních služeb chráněného bydlení v MSK – západ</t>
  </si>
  <si>
    <t>ProDítě: Profesionální a inovativní péče o ohrožené děti v Moravskoslezském kraji</t>
  </si>
  <si>
    <t>Profesionalizace systému péče o ohrožené děti v Moravskoslezském kraji</t>
  </si>
  <si>
    <t>Rekonstrukce objektu chráněného bydlení Písky</t>
  </si>
  <si>
    <t>Standardizace poskytování sociálních služeb v Moravskoslezském kraji</t>
  </si>
  <si>
    <t>TechSocialcare - Promoting Technical Standards for Assistive Technology in European Social care services</t>
  </si>
  <si>
    <t>Transformace – DOZP a zázemí organizace Opava</t>
  </si>
  <si>
    <t>Transformace – DOZP Mokré Lazce</t>
  </si>
  <si>
    <t>Transformace – DOZP Ostrava</t>
  </si>
  <si>
    <t>Celkem  Sociální věci</t>
  </si>
  <si>
    <t>Energetické úspory VI. Etapa - PPP Karviná</t>
  </si>
  <si>
    <t>Energetické úspory VI. Etapa - SOUS Opava</t>
  </si>
  <si>
    <t>Energetické úspory VI. Etapa - SPŠaOA Bruntál</t>
  </si>
  <si>
    <t>Energetické úspory VI. Etapa - SPŠ Krnov</t>
  </si>
  <si>
    <t>Energetické úspory VI. Etapa - SŠaVOŠ Kopřivnice</t>
  </si>
  <si>
    <t>Energetické úspory VI. Etapa - SŠaZŠ Havířov - Šumbark</t>
  </si>
  <si>
    <t>Energetické úspory VI. Etapa - SŠE Ostrava</t>
  </si>
  <si>
    <t>Energetické úspory VI. Etapa - SŠŘ Frýdek-Místek</t>
  </si>
  <si>
    <t>Energetické úspory VI. Etapa - SŠGOaS Frýdek-Místek</t>
  </si>
  <si>
    <t>Energetické úspory VI. Etapa - ZŠaMŠ Nový Jičín</t>
  </si>
  <si>
    <t>Energetické úspory VI. Etapa - ZŠ Ostrava U Haldy</t>
  </si>
  <si>
    <t>Energetické úspory VI. Etapa - ZUŠ B. Martinů</t>
  </si>
  <si>
    <t>Energetické úspory VI. Etapa - ZUŠ L. Janáčka Ostrava - Vítkovice</t>
  </si>
  <si>
    <t xml:space="preserve">Energetické úspory Albrechtova střední škola, Český Těšín </t>
  </si>
  <si>
    <t>Energetické úspory - Dětský domov a Školní jídelna, Radkov-Dubová 141, příspěvková organizace</t>
  </si>
  <si>
    <t>Modernizace a rozšíření ZŠ Hlučín</t>
  </si>
  <si>
    <t>Modernizace výuky informačních technologii III</t>
  </si>
  <si>
    <t xml:space="preserve">Pilotní transformace dětských domovů v Moravskoslezském kraji </t>
  </si>
  <si>
    <t>Rekultivace sportovního areálu Gymnázia Cihelní</t>
  </si>
  <si>
    <t>Rozšíření a modernizace prostor SŠ, ZŠ a MŠ v Karviné</t>
  </si>
  <si>
    <t>Rozšíření a modernizace prostor ZŠ a MŠ v Ostravě-Porubě, Ukrajinská 19, příspěvkové organizace</t>
  </si>
  <si>
    <t>Celkem  Školství</t>
  </si>
  <si>
    <t>Celkem  Zdravotnictví</t>
  </si>
  <si>
    <t>Vlastní zdroje příspěvkové organizace ve výši 1.200 tis. Kč v roce 2025.</t>
  </si>
  <si>
    <t>Chytré ovzduší ve veřejné správě - SMART AIR</t>
  </si>
  <si>
    <t>Modelová péče o lesní stanoviště a druhy vázané na lesní stanoviště a stromy</t>
  </si>
  <si>
    <t>Celkem  Životní prostředí</t>
  </si>
  <si>
    <t>CELKEM PROJEKTY EU</t>
  </si>
  <si>
    <t>Rekonstrukce a modernizace silnice II/440 Rýžoviště - Dětřichov - hr. OL. kraje</t>
  </si>
  <si>
    <t>"UNIFHY-Unifying policies to support the uptake of green hydrogen to decarbonize Europe" - "UNIFHY- Sjednocení politik na podporu zavádění zeleného vodíku k dekarbonizaci Evropy"</t>
  </si>
  <si>
    <t>"NUTSHELL@CE-Strengthening public transport to enhance accessibility in rural central Europe" - "NUTSHELL@CE-Posílení veřejné dopravy pro zlepšení dostupnosti ve venkovských oblastech střední Evropy"</t>
  </si>
  <si>
    <t>Rozpočet 2025</t>
  </si>
  <si>
    <t>Informatika a kybernetická bezpečnost</t>
  </si>
  <si>
    <t>PŘEHLED AKCÍ FINANCOVANÝCH Z ÚVĚROVÝCH ZDROJŮ V NÁVRHU ROZPOČTU KRAJE NA ROK 2025</t>
  </si>
  <si>
    <t>Celkové 
výdaje 
na projekt</t>
  </si>
  <si>
    <t>z toho financováno 
z úvěru 
UCB 2024+</t>
  </si>
  <si>
    <t>z toho 
 splátka úvěru
UCB 2024+</t>
  </si>
  <si>
    <t>Rekonstrukce a modernizace silnice II/440 Rýžoviště - Dětřichov - hr. Olomouckého kraje</t>
  </si>
  <si>
    <t>3667</t>
  </si>
  <si>
    <t>3668</t>
  </si>
  <si>
    <t>3670</t>
  </si>
  <si>
    <t>Rekonstrukce silnice II/445 Vrbno p. Pradědem - Heřmanovice</t>
  </si>
  <si>
    <t>3573</t>
  </si>
  <si>
    <t>3575</t>
  </si>
  <si>
    <t>Restaurování kulturního dědictví MSK</t>
  </si>
  <si>
    <t>Rekonstrukce objektu organizace Nový domov, příspěvková organizace vedoucí 
k energetickým úsporám</t>
  </si>
  <si>
    <t>3557</t>
  </si>
  <si>
    <t>Transformace - DOZP Kravaře</t>
  </si>
  <si>
    <t>Transformace - DOZP Mokré Lazce</t>
  </si>
  <si>
    <t>3580</t>
  </si>
  <si>
    <t>3581</t>
  </si>
  <si>
    <t>Transformace - DOZP Ostrava</t>
  </si>
  <si>
    <t>3582</t>
  </si>
  <si>
    <t>3434</t>
  </si>
  <si>
    <t>3435</t>
  </si>
  <si>
    <t>Novostavba a přístavba objektu dílen a učeben praktického vyučování 
ve Středním odborném učilišti stavebním Opava</t>
  </si>
  <si>
    <t>Pilotní transformace dětských domovů v Moravskoslezském kraji</t>
  </si>
  <si>
    <t>Energetické úspory – Základní škola, Karasova 6, Ostrava – Mariánské Hory, příspěvková organizace</t>
  </si>
  <si>
    <t>Str. přílohy
č. 2</t>
  </si>
  <si>
    <t>ORG</t>
  </si>
  <si>
    <t>MSK/PO</t>
  </si>
  <si>
    <t xml:space="preserve">Závazek financování akce </t>
  </si>
  <si>
    <t>Celkové výdaje</t>
  </si>
  <si>
    <t>Předpokl. výdaje r. 2024</t>
  </si>
  <si>
    <t xml:space="preserve">max. </t>
  </si>
  <si>
    <t>v letech</t>
  </si>
  <si>
    <t>ODVĚTVÍ VLASTNÍ SPRÁVNÍ ČINNOST KRAJE A ČINNOST ZASTUPITELSTVA KRAJE:</t>
  </si>
  <si>
    <t>Rekonstrukce budovy krajského úřadu</t>
  </si>
  <si>
    <t>RIA/ MSK</t>
  </si>
  <si>
    <t>2025-2026</t>
  </si>
  <si>
    <t>Ostatní kapitálové výdaje - činnost krajského úřadu a zastupitelstva kraje</t>
  </si>
  <si>
    <t>MSK</t>
  </si>
  <si>
    <t>Akce každoročně v rozpočtu opakovaná, skutečné výdaje před rokem 2024 nejsou z důvodu nulové vypovídací hodnoty uvedeny. V roce 2025 a 2026 závazek na pořízení vozidel.</t>
  </si>
  <si>
    <t>ODVĚTVÍ VLASTNÍ SPRÁVNÍ ČINNOST KRAJE A ČINNOST ZASTUPITELSTVA KRAJE CELKEM</t>
  </si>
  <si>
    <t>ODVĚTVÍ FINANCÍ A SPRÁVY MAJETKU KRAJE:</t>
  </si>
  <si>
    <t xml:space="preserve">Zajištění přípravy, realizace a havárie v rámci akcí reprodukce majetku </t>
  </si>
  <si>
    <t>IDTP / PO</t>
  </si>
  <si>
    <t xml:space="preserve"> - </t>
  </si>
  <si>
    <t xml:space="preserve">Akce každoročně v rozpočtu opakovaná, skutečné výdaje před rokem 2024 nejsou z důvodu nulové vypovídací hodnoty uvedeny. </t>
  </si>
  <si>
    <t>Nákup pozemků a ostatních nemovitostí</t>
  </si>
  <si>
    <t>Maj/MSK</t>
  </si>
  <si>
    <t>ODVĚTVÍ FINANCÍ A SPRÁVY MAJETKU KRAJE CELKEM</t>
  </si>
  <si>
    <t>PO</t>
  </si>
  <si>
    <t>Oprava havarijních úseků (Správa silnic Moravskoslezského kraje, příspěvková organizace, Ostrava)</t>
  </si>
  <si>
    <t>HUB Mošnov, výstavba okružní křižovatky na sil. I/58, a úprava křižovatek na sil. II/464 pro nadměrnou dopravu (Správa silnic Moravskoslezského kraje, příspěvková organizace, Ostrava)</t>
  </si>
  <si>
    <t>-</t>
  </si>
  <si>
    <t>Silnice II/470, stavba „Komunikace – Severní spoj“ v Ostravě - příprava (Správa silnic Moravskoslezského kraje, příspěvková organizace, Ostrava)</t>
  </si>
  <si>
    <t>Závazek financování 69 mil.Kč (projektová příprava); 1.800 mil. Kč - odhadované náklady pro stavbu/realizaci akce.</t>
  </si>
  <si>
    <t>Rekonstrukce mostních objektů a silnic (Správa silnic Moravskoslezského kraje, příspěvková organizace, Ostrava)</t>
  </si>
  <si>
    <t>Vypořádání pozemků pod stavbami silnic II. a III.třídy</t>
  </si>
  <si>
    <t>Výkup pozemků pro přeložku silnice II/443 - obchvat Otic</t>
  </si>
  <si>
    <t>2021-2026</t>
  </si>
  <si>
    <t>2024-2026</t>
  </si>
  <si>
    <t>Rekonstrukce objektu dílen a garáží CM Krnov (Správa silnic Moravskoslezského kraje, příspěvková organizace, Ostrava)</t>
  </si>
  <si>
    <t>Výstavba nové haly soli včetně demolice stávající haly – CM Rýmařov (Správa silnic Moravskoslezského kraje, příspěvková organizace, Ostrava)</t>
  </si>
  <si>
    <t>Rekonstrukce vzletové a přistávací dráhy a navazujících provozních ploch Letiště Leoše Janáčka Ostrava - příprava</t>
  </si>
  <si>
    <t>Do rozpočtu zařazeny prostředky 73.094 tis. Kč (projektová příprava); 4,2 mld. Kč - odhadované náklady pro stavbu/realizaci akce.</t>
  </si>
  <si>
    <t>Letiště Leoše Janáčka Ostrava, ostatní reprodukce majetku kraje</t>
  </si>
  <si>
    <t>Informační a komunikační technologie KÚ - kapitálové výdaje</t>
  </si>
  <si>
    <t>Informační a komunikační technologie ZK - kapitálové výdaje</t>
  </si>
  <si>
    <t>Vysokorychlostní datová síť (Moravskoslezské datové centrum, příspěvková organizace, Ostrava)</t>
  </si>
  <si>
    <t>Hospital Cloud</t>
  </si>
  <si>
    <t>2024-2027</t>
  </si>
  <si>
    <t xml:space="preserve">ODVĚTVÍ KRIZOVÉHO ŘÍZENÍ:  </t>
  </si>
  <si>
    <t>IBC MSK – rozšíření prostor pro tísňové volání</t>
  </si>
  <si>
    <t>Modernizace elektronické požární signalizace (Galerie výtvarného umění v Ostravě, příspěvková organizace)</t>
  </si>
  <si>
    <t>Muzeum osobních automobilů Tatra Kopřivnice - příprava (Muzeum Novojičínska, příspěvková organizace)</t>
  </si>
  <si>
    <t>Závazek financování 31.150 tis. Kč (projektová příprava); 589.000 tis. Kč - odhadované náklady pro stavbu/realizaci akce.</t>
  </si>
  <si>
    <t>Oprava Památníku životické tragédie (Muzeum Těšínska, příspěvková organizace)</t>
  </si>
  <si>
    <t>2023-2026</t>
  </si>
  <si>
    <t>Oprava střechy a fasády budovy konzervačního pracoviště v Horní Suché (Muzeum Těšínska, příspěvková organizace)</t>
  </si>
  <si>
    <t>Oprava střechy Žerotínského zámku (Muzeum Novojičínska, příspěvková organizace)</t>
  </si>
  <si>
    <t>Revitalizace frýdeckého zámku (Muzeum Beskyd Frýdek-Místek, příspěvková organizace)</t>
  </si>
  <si>
    <t>Zámek Bruntál - revitalizace objektu II (Muzeum v Bruntále, příspěvková organizace)</t>
  </si>
  <si>
    <t>2023-2027</t>
  </si>
  <si>
    <t>Žerotínský zámek - revitalizace objektu - příprava (Muzeum Novojičínska, příspěvková organizace)</t>
  </si>
  <si>
    <t>Financování ve výši 4.407 tis. Kč (projektová příprava); 350.000 tis. Kč - odhadované náklady pro stavbu/realizaci akce.</t>
  </si>
  <si>
    <t>Podpora rozvoje muzejnictví v Moravskoslezském kraji - příspěvkové organizace MSK</t>
  </si>
  <si>
    <t>Reprodukce movitého hmotného majetku kraje v odvětví kultury</t>
  </si>
  <si>
    <t>Reprodukce movitého nehmotného majetku kraje v odvětví kultury</t>
  </si>
  <si>
    <t>Nová expozice Technického muzea Tatra v Kopřivnici - muzeum osobních vozidel (Muzeum Novojičínska, příspěvková organizace)</t>
  </si>
  <si>
    <t>Krajský depozitář pro kulturní organizace – příprava (Muzeum Beskyd Frýdek-Místek, příspěvková organizace)</t>
  </si>
  <si>
    <t>2025-2027</t>
  </si>
  <si>
    <t>Závazek financování 30.000 tis. Kč (projektová příprava); 600.000 tis. Kč - odhadované náklady pro stavbu/realizaci akce.</t>
  </si>
  <si>
    <t>Rekonstrukce správní budovy (Domov Březiny, příspěvková organizace, Petřvald)</t>
  </si>
  <si>
    <t>Výstavba nového objektu v Bruntále (Centrum psychologické pomoci, příspěvková organizace, Karviná)</t>
  </si>
  <si>
    <t>Stavební úpravy objektu poradny (Centrum psychologické pomoci, příspěvková organizace, Karviná)</t>
  </si>
  <si>
    <t>Oprava střechy, fasády a sanace zdí  (Domov Bílá Opava, příspěvková organizace, Opava)</t>
  </si>
  <si>
    <t>Rekonstrukce objektu Na Pomezí (Sírius, příspěvková organizace, Opava)</t>
  </si>
  <si>
    <t>2022-2028</t>
  </si>
  <si>
    <t>Výstavba administrativní budovy  (Fontána, příspěvková organizace, Hlučín)</t>
  </si>
  <si>
    <t>2019-2026</t>
  </si>
  <si>
    <t>Nákup automobilů pro příspěvkové organizace v odvětví sociálních věcí</t>
  </si>
  <si>
    <t>Rekonstrukce školní kuchyně a výdejny (Střední škola techniky a služeb, Karviná, příspěvková organizace)</t>
  </si>
  <si>
    <t>Stavební úpravy části školy pro potřeby Vzdělávacího a výcvikového střediska a umístění sídla Správy silnic MSK v Ostravě-Zábřehu (Střední škola stavební a dřevozpracující, Ostrava, příspěvková organizace)</t>
  </si>
  <si>
    <t>Optimalizace využívaných prostor SŠP Krnov (Střední škola průmyslová, Krnov, příspěvková organizace)</t>
  </si>
  <si>
    <t>Modernizace koncertního sálu (Janáčkova konzervatoř v Ostravě, příspěvková organizace)</t>
  </si>
  <si>
    <t>Rekonstrukce tělocvičny (Gymnázium, Havířov-Podlesí, příspěvková organizace)</t>
  </si>
  <si>
    <t>Rekonstrukce elektroinstalace (Gymnázium Josefa Kainara, Hlučín,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</si>
  <si>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</si>
  <si>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Rekonstrukce objektu SŠ a domova mládeže (Střední škola společného stravování, Ostrava-Hrabůvka, příspěvková organizace)</t>
  </si>
  <si>
    <t>Využití objektu v Bílé - příprava (Vzdělávací a sportovní centrum Bílá, příspěvková organizace)</t>
  </si>
  <si>
    <t>Závazek financování 19.377 tis. Kč (projektová příprava); 520.000 tis. Kč - odhadované náklady pro stavbu/realizaci akce.</t>
  </si>
  <si>
    <t>Revitalizace Slezského gymnázia (Slezské gymnázium, Opava, příspěvková organizace)</t>
  </si>
  <si>
    <t>2022-2027</t>
  </si>
  <si>
    <t>Výstavba ředitelství včetně spojovacích chodeb (Střední škola technická a dopravní, Ostrava-Vítkovice, příspěvková organizace)</t>
  </si>
  <si>
    <t>2020-2026</t>
  </si>
  <si>
    <t>Novostavba školní družiny (Střední škola, Základní škola a Mateřská škola, Karviná, příspěvková organizace)</t>
  </si>
  <si>
    <t>Rekonstrukce elektroinstalace (Gymnázium, Krnov, příspěvková organizace)</t>
  </si>
  <si>
    <t>2022-2026</t>
  </si>
  <si>
    <t>Rekonstrukce elektroinstalace a zdravotně technické instalace (Gymnázium, Ostrava-Hrabůvka, příspěvková organizace)</t>
  </si>
  <si>
    <t>Rekonstrukce bazénu a sprch (Střední škola řemesel, Frýdek-Místek, příspěvková organizace)</t>
  </si>
  <si>
    <t>Oprava střechy tělocvičny (Masarykovo gymnázium, Příbor, příspěvková organizace)</t>
  </si>
  <si>
    <t>Rekonstrukce elektroinstalace (Základní škola, Ostrava-Slezská Ostrava, Na Vizině 28, příspěvková organizace)</t>
  </si>
  <si>
    <t>Rekonstrukce vnitřní elektroinstalace (Odborné učiliště a Praktická škola, Nový Jičín, příspěvková organizace)</t>
  </si>
  <si>
    <t>Rekonstrukce elektroinstalace (Matiční gymnázium, Ostrava, příspěvková organizace)</t>
  </si>
  <si>
    <t>Oprava rozvodů vody (Střední škola prof. Zdeňka Matějčka, Ostrava-Poruba, příspěvková organizace)</t>
  </si>
  <si>
    <t>Rekonstrukce elektroinstalace a hygienických zařízení (Základní škola a Mateřská škola pro sluchově postižené a vady řeči, Ostrava-Poruba, příspěvková organizace)</t>
  </si>
  <si>
    <t>Rekonstrukce objektu školní jídelny (Základní škola a Mateřská škola pro sluchově postižené a vady řeči, Ostrava-Poruba, příspěvková organizace)</t>
  </si>
  <si>
    <t>Rekonstrukce suterénu školy a spojovacího krčku (Střední odborná škola a Základní škola, Město Albrechtice, příspěvková organizace)</t>
  </si>
  <si>
    <t>Rekonstrukce elektroinstalace (Gymnázium Hladnov a Jazyková škola s právem státní jazykové zkoušky, Ostrava, příspěvková organizace)</t>
  </si>
  <si>
    <t>Rekonstrukce elektroinstalace budovy A1 (Střední škola a Základní škola, Havířov-Šumbark, příspěvková organizace)</t>
  </si>
  <si>
    <t>Oprava střechy a fasády tělocvičny (Obchodní akademie, Český Těšín, příspěvková organizace)</t>
  </si>
  <si>
    <t>Rekonstrukce nevyužitých budov obchodní akademie pro ZUŠ Orlová - příprava (Základní umělecká škola J. R. Míši, Orlová, příspěvková organizace)</t>
  </si>
  <si>
    <t>Závazek ve výši 4.519 tis. Kč (projektová příprava); 185.481 tis. Kč - odhadované náklady pro stavbu/realizaci akce.</t>
  </si>
  <si>
    <t>2020-2027</t>
  </si>
  <si>
    <t>Sportovní areál na ul. Komenského, Opava (Mendelovo gymnázium, Opava, příspěvková organizace)</t>
  </si>
  <si>
    <t>2018-2026</t>
  </si>
  <si>
    <t>Novostavba výukových prostor včetně venkovních úprav (Střední škola teleinformatiky, Ostrava, příspěvková organizace)</t>
  </si>
  <si>
    <t>Novostavba školních dílen (Střední škola, Bohumín, příspěvková organizace)</t>
  </si>
  <si>
    <t>Vybudování učeben pro CLS (Gymnázium a Střední průmyslová škola elektrotechniky a informatiky, Frenštát pod Radhoštěm, příspěvková organizace)</t>
  </si>
  <si>
    <t>Optimalizace výukových prostor ve městě Vítkov (Základní škola, Vítkov, nám. J. Zajíce č. 1, příspěvková organizace)</t>
  </si>
  <si>
    <t>Rekonstrukce venkovního hřiště (Gymnázium Petra Bezruče, Frýdek-Místek, příspěvková organizace)</t>
  </si>
  <si>
    <t>Rekonstrukce kuchyně a jídelny (Střední škola a Vyšší odborná škola, Kopřivnice, příspěvková organizace)</t>
  </si>
  <si>
    <t>Stavební úpravy objektů na ulicích Divadelní a Čapkova (Základní umělecká škola, Rýmařov, Čapkova 6, příspěvková organizace)</t>
  </si>
  <si>
    <t>Rekonstrukce školní kuchyně a jídelny (Gymnázium, Nový Jičín, příspěvková organizace)</t>
  </si>
  <si>
    <t>Rekonstrukce opěrné zídky (Základní škola speciální, Ostrava-Slezská Ostrava, příspěvková organizace)</t>
  </si>
  <si>
    <t>Oprava obvodové kamenné zdi (Dětský domov a Školní jídelna, Melč 4, příspěvková organizace)</t>
  </si>
  <si>
    <t>Vybudování systému čištění odpadních vod (Dětský domov a Školní jídelna, Radkov-Dubová 141, příspěvková organizace)</t>
  </si>
  <si>
    <t>Stavební úpravy tělocvičny (Mendelovo gymnázium, Opava, příspěvková organizace)</t>
  </si>
  <si>
    <t>Fotovoltaický systém pro Střední školu řemesel, Frýdek-Místek (Střední škola řemesel, Frýdek-Místek, příspěvková organizace)</t>
  </si>
  <si>
    <t>Vybudování hřiště (Střední škola prof. Zdeňka Matějčka, Ostrava-Poruba, příspěvková organizace)</t>
  </si>
  <si>
    <t>Výměna oken a zateplení (Základní umělecká škola Eduarda Marhuly, Ostrava-Mariánské Hory, Hudební 6, příspěvková organizace)</t>
  </si>
  <si>
    <t>Rekonstrukce zdroje vytápění – tepelné čerpadlo (Dětský domov a Školní jídelna, Frýdek-Místek, příspěvková organizace)</t>
  </si>
  <si>
    <t>Rekonstrukce zdroje vytápění centrální kotelny (Střední škola technická, Opava, Kolofíkovo nábřeží 51, příspěvková organizace)</t>
  </si>
  <si>
    <t>Rekonstrukce zdroje vytápění v kotelně hlavní budovy (Střední průmyslová škola stavební, Opava, příspěvková organizace)</t>
  </si>
  <si>
    <t>Rekonstrukce zdroje vytápění – instalace tepelného čerpadla (Mateřská škola Eliška, Opava, příspěvková organizace)</t>
  </si>
  <si>
    <t>Rekonstrukce zdroje vytápění hlavní budovy školy (Obchodní akademie a Střední odborná škola logistická, Opava, příspěvková organizace)</t>
  </si>
  <si>
    <t>Rekonstrukce zdroje vytápění dětského domova (Dětský domov a Školní jídelna, Lichnov 253, příspěvková organizace)</t>
  </si>
  <si>
    <t>Sanace budovy a zastřešení schodiště – pracoviště Otická (Obchodní akademie a Střední odborná škola logistická, Opava, příspěvková organizace)</t>
  </si>
  <si>
    <t>Revitalizace fasády budovy dílen (Střední průmyslová škola, Ostrava-Vítkovice, příspěvková organizace)</t>
  </si>
  <si>
    <t>Sanace objektu Husova (Střední pedagogická škola a Střední zdravotnická škola, Krnov, příspěvková organizace)</t>
  </si>
  <si>
    <t>Demolice objektu Domova mládeže (Střední odborná škola a Základní škola, Město Albrechtice, příspěvková organizace)</t>
  </si>
  <si>
    <t>Rekonstrukce reprezentačního sálu včetně zázemí (Základní umělecká škola Leoše Janáčka, Havířov, příspěvková organizace)</t>
  </si>
  <si>
    <t>Revitalizace zahrady a zpevněných ploch (Základní škola, Dětský domov, Školní družina a Školní jídelna, Vrbno p. Pradědem, nám. Sv. Michala 17, příspěvková organizace)</t>
  </si>
  <si>
    <t>Modernizace Školního statku Opava II - posklizňová linka (Školní statek, Opava, příspěvková organizace)</t>
  </si>
  <si>
    <t>2022-2025</t>
  </si>
  <si>
    <t>Rekonstrukce střechy tělocvičny (Střední škola služeb a podnikání, Ostrava-Poruba, příspěvková organizace)</t>
  </si>
  <si>
    <t>Rekonstrukce elektroinstalace (Základní škola speciální, Ostrava-Slezská Ostrava, příspěvková organizace)</t>
  </si>
  <si>
    <t>Oprava objektů po požáru (Obchodní akademie, Český Těšín, příspěvková organizace,  Základní umělecká škola Pavla Kalety, Český Těšín, příspěvková organizace)</t>
  </si>
  <si>
    <t>RIA/ MSK, IDTP/ PO, ŠMS</t>
  </si>
  <si>
    <t>Rekonstrukce zdravotechniky (Obchodní akademie, Ostrava-Poruba, příspěvková organizace)</t>
  </si>
  <si>
    <t>Rekonstrukce zdravotechniky (Matiční gymnázium, Ostrava, příspěvková organizace)</t>
  </si>
  <si>
    <t>Rekonstrukce sociálních zařízení v budově A, B (Střední průmyslová škola, Ostrava-Vítkovice, příspěvková organizace)</t>
  </si>
  <si>
    <t>Oprava střech vybraných objektů školy (Střední škola stavební a dřevozpracující, Ostrava, příspěvková organizace)</t>
  </si>
  <si>
    <t>Rekonstrukce zdravotechniky a elektroinstalace v budově A (Střední škola prof. Zdeňka Matějčka, Ostrava-Poruba, příspěvková organizace)</t>
  </si>
  <si>
    <t>Rekonstrukce sociálního zařízení (Gymnázium Františka Živného, Bohumín, Jana Palacha 794, příspěvková organizace)</t>
  </si>
  <si>
    <t>Rekonstrukce obloukové střechy (Gymnázium a Obchodní akademie, Orlová, příspěvková organizace)</t>
  </si>
  <si>
    <t>Revitalizace tělocvičny (Střední průmyslová škola elektrotechnická, Havířov, příspěvková organizace)</t>
  </si>
  <si>
    <t>Modernizace šaten (Střední průmyslová škola, Karviná, příspěvková organizace)</t>
  </si>
  <si>
    <t>Rekonstrukce podlahy v tělocvičně (Střední průmyslová škola, Karviná, příspěvková organizace)</t>
  </si>
  <si>
    <t>Rekonstrukce elektroinstalace včetně výměny osvětlovacích těles (Střední škola, Základní škola a Mateřská škola, Karviná, příspěvková organizace)</t>
  </si>
  <si>
    <t>Rekonstrukce hygienického zařízení (Mateřská škola Paraplíčko, Havířov, příspěvková organizace)</t>
  </si>
  <si>
    <t>Rekonstrukce podhledů a osvětlení v tělocvičně (Albrechtova střední škola, Český Těšín, příspěvková organizace)</t>
  </si>
  <si>
    <t>Rekonstrukce sociálních zařízení a zdravotechniky (Střední škola, Havířov-Prostřední Suchá, příspěvková organizace)</t>
  </si>
  <si>
    <t>Rekonstrukce elektroinstalace (Střední škola techniky a služeb, Karviná, příspěvková organizace)</t>
  </si>
  <si>
    <t>Rekonstrukce systému ochrany před bleskem (Základní umělecká škola J. A. Komenského, Studénka, příspěvková organizace)</t>
  </si>
  <si>
    <t>Rekonstrukce obvodového pláště (Mendelova střední škola, Nový Jičín, příspěvková organizace)</t>
  </si>
  <si>
    <t>Sanace sklepních prostorů v budově domova mládeže (Odborné učiliště a Praktická škola, Nový Jičín, příspěvková organizace)</t>
  </si>
  <si>
    <t>Rekonstrukce elektroinstalace a zdravotechniky (Hotelová škola, Frenštát pod Radhoštěm, příspěvková organizace)</t>
  </si>
  <si>
    <t>Sanace zdiva (Gymnázium Josefa Kainara, Hlučín, příspěvková organizace)</t>
  </si>
  <si>
    <t>Rekonstrukce oplocení (Mateřská škola Eliška, Opava, příspěvková organizace)</t>
  </si>
  <si>
    <t>Výměna osobního výtahu (Odborné učiliště a Praktická škola, Hlučín, příspěvková organizace)</t>
  </si>
  <si>
    <t>Rekonstrukce elektroinstalace v budově jídelny (Střední průmyslová škola a Obchodní akademie, Bruntál, příspěvková organizace)</t>
  </si>
  <si>
    <t>Rekonstrukce oplocení (Základní škola, Bruntál, Rýmařovská 15, příspěvková organizace)</t>
  </si>
  <si>
    <t>Demolice staré kotelny (Základní škola, Bruntál, Rýmařovská 15, příspěvková organizace)</t>
  </si>
  <si>
    <t>Vybudování kanalizační přípojky (Základní škola a Mateřská škola, Frýdlant nad Ostravicí, Náměstí 7, příspěvková organizace)</t>
  </si>
  <si>
    <t>Rekonstrukce zpevněné plochy (Základní škola a Mateřská škola, Frýdlant nad Ostravicí, Náměstí 7, příspěvková organizace)</t>
  </si>
  <si>
    <t>Rekonstrukce střech dílen (Střední odborná škola a Základní škola, Město Albrechtice, příspěvková organizace)</t>
  </si>
  <si>
    <t>Modernizace venkovních ploch gymnázia (Gymnázium Olgy Havlové, Ostrava-Poruba, příspěvková organizace)</t>
  </si>
  <si>
    <t>Vybudování hřiště (Gymnázium a Střední průmyslová škola elektrotechniky a informatiky, Frenštát pod Radhoštěm, příspěvková organizace)</t>
  </si>
  <si>
    <t>Výměna oken (Gymnázium, Karviná, příspěvková organizace)</t>
  </si>
  <si>
    <t>Rekonstrukce elektroinstalace v Domově mládeže (Masarykova střední škola zemědělská a přírodovědná, Opava, příspěvková organizace)</t>
  </si>
  <si>
    <t>Stínící technika v budově školy (Střední škola, Havířov-Prostřední Suchá, příspěvková organizace)</t>
  </si>
  <si>
    <t>Rekonstrukce provozních prostor kuchyně (Střední škola řemesel, Frýdek-Místek, příspěvková organizace)</t>
  </si>
  <si>
    <t>Rekonstrukce sociálního zařízení (Základní škola, Ostrava-Slezská Ostrava, Na Vizině 28, příspěvková organizace)</t>
  </si>
  <si>
    <t>Závazek financování 191.000 tis. Kč (projektová příprava a částečná realizace); 259.000 tis. Kč - odhadované náklady pro stavbu/realizaci akce z prostředků Národní sportovní agentury v případě vydaní rozhodnutí o poskytnutí dotace</t>
  </si>
  <si>
    <t>Obnova movitého majetku škol a školských zařízení</t>
  </si>
  <si>
    <t>Nemocnice Nový Jičín - reinvestiční část nájemného a opravy</t>
  </si>
  <si>
    <t>Rekonstrukce kanalizace - Karviná (Nemocnice Karviná-Ráj, příspěvková organizace)</t>
  </si>
  <si>
    <t>Modernizace Odborného léčebného ústavu Metylovice - příprava (Odborný léčebný ústav Metylovice - Moravskoslezské sanatorium, příspěvková organizace)</t>
  </si>
  <si>
    <t>Závazek financování 50.000 tis. Kč (projektová příprava); 1.600.000 tis. Kč - odhadované náklady pro stavbu/realizaci akce.</t>
  </si>
  <si>
    <t>Demolice balkonu dětského oddělení - Karviná (Nemocnice Karviná-Ráj, příspěvková organizace)</t>
  </si>
  <si>
    <t>Zřízení LDN pro pacienty se zvýšeným hygienickým režimem a přesun očního centra (Nemocnice Karviná – Ráj, příspěvková organizace)</t>
  </si>
  <si>
    <t>Rekonstrukce dětského oddělení vč. DIP (Nemocnice ve Frýdku - Místku, příspěvková organizace)</t>
  </si>
  <si>
    <t>Rekonstrukce operačních sálů č. 6 a 7 (Nemocnice Třinec, příspěvková organizace)</t>
  </si>
  <si>
    <t>Pavilon G - vnitřní stavební úpravy (Slezská nemocnice v Opavě, příspěvková organizace)</t>
  </si>
  <si>
    <t>Středisko krizového řízení s heliportem pro noční přistávání (Sdružené zdravotnické zařízení Krnov, příspěvková organizace)</t>
  </si>
  <si>
    <t>Novostavba parkovacího domu v areálu nemocnice - příprava (Slezská nemocnice v Opavě, příspěvková organizace)</t>
  </si>
  <si>
    <t>Závazek financování 23.600 tis. Kč (projektová příprava); 197.000 tis. Kč - odhadované náklady pro stavbu/realizaci akce.</t>
  </si>
  <si>
    <t>Pavilon A - výměna střešní krytiny (Sdružené zdravotnické zařízení Krnov, příspěvková organizace)</t>
  </si>
  <si>
    <t>Rekonstrukce koupelen ubytovacích jednotek (Odborný léčebný ústav Metylovice-Moravskoslezské sanatorium, příspěvková organizace kraje)</t>
  </si>
  <si>
    <t>Výtah budova C (Nemocnice ve Frýdku-Místku, příspěvková organizace)</t>
  </si>
  <si>
    <t>Výtah budova B (Nemocnice ve Frýdku-Místku, příspěvková organizace)</t>
  </si>
  <si>
    <t>Rekonstrukce kanalizace (Nemocnice Třinec, příspěvková organizace)</t>
  </si>
  <si>
    <t>Rekonstrukce fasády a střech objektu kotelny a přístřešku (Nemocnice Třinec, příspěvková organizace)</t>
  </si>
  <si>
    <t>Vybudování záložního zdroje - nemocnice Orlová (Nemocnice Karviná - Ráj, příspěvková organizace)</t>
  </si>
  <si>
    <t>Odvětrávání výtahů monoblok Orlová (Nemocnice Karviná - Ráj, příspěvková organizace)</t>
  </si>
  <si>
    <t>Rekonstrukce páteřních rozvodů vody v nemocnici Orlová (Nemocnice Karviná - Ráj, příspěvková organizace)</t>
  </si>
  <si>
    <t>Protipožární opatření nemocnice Orlová (Nemocnice Karviná - Ráj, příspěvková organizace)</t>
  </si>
  <si>
    <t>Úpravy vnitřních prostor výjezdových skupin Orlová (Zdravotnická záchranná služba Moravskoslezského kraje, příspěvková organizace)</t>
  </si>
  <si>
    <t>Obnova vozového parku - příspěvkové organizace v odvětví zdravotnictví</t>
  </si>
  <si>
    <t>Pořízení zdravotnických přístrojů a zdravotnické techniky</t>
  </si>
  <si>
    <t>Elektronizace zdravotnických procesů – příspěvkové organizace v odvětví zdravotnictví</t>
  </si>
  <si>
    <t>Plán rozvoje vodovodů a kanalizací Moravskoslezského kraje-webová aplikace</t>
  </si>
  <si>
    <t>2021 - 2028</t>
  </si>
  <si>
    <t>Realizace energeticky úsporných opatření na budovách v majetku MSK</t>
  </si>
  <si>
    <t>Skutečné výdaje před r. 2024</t>
  </si>
  <si>
    <t>Souvislé opravy silnic, včetně mostních objektů (Správa silnic Moravskoslezského kraje, příspěvková organizace, Ostrava)</t>
  </si>
  <si>
    <t>Protihluková opatření (Správa silnic Moravskoslezského kraje, příspěvková organizace, Ostrava)</t>
  </si>
  <si>
    <t>Novostavba garáží a dílen v areálu CM Frýdek-Místek (Správa silnic Moravskoslezského kraje, příspěvková organizace, Ostrava)</t>
  </si>
  <si>
    <t>Rekonstrukce provozní budovy CM Hlučín, středisko Opava  (Správa silnic Moravskoslezského kraje, příspěvková organizace, Ostrava)</t>
  </si>
  <si>
    <t>Akce každoročně v rozpočtu opakovaná, skutečné výdaje před rokem 2024 nejsou z důvodu nulové vypovídací hodnoty uvedeny. V roce 2026 závazek na dopracování projektové dokumentace.</t>
  </si>
  <si>
    <t>Vlastní zdroje příspěvk. organizace</t>
  </si>
  <si>
    <t>PŘEHLED AKCÍ REPRODUKCE MAJETKU KRAJE V NÁVRHU ROZPOČTU KRAJE NA ROK 2025  (v tis. Kč)</t>
  </si>
  <si>
    <t xml:space="preserve"> PŘEHLED AKCÍ SPOLUFINANCOVANÝCH Z EVROPSKÝCH FINANČNÍCH ZDROJŮ V NÁVRHU ROZPOČTU KRAJE NA ROK 2025 (v tis. Kč)             </t>
  </si>
  <si>
    <t>Návrh rozpočtu 2025</t>
  </si>
  <si>
    <t>Návrh výdajů
 2025
celkem</t>
  </si>
  <si>
    <t>Návrh příjmů
 2025</t>
  </si>
  <si>
    <t>Návrh
rozpočtu 2025</t>
  </si>
  <si>
    <t>Návrh příjmů  2025
(v tis. Kč)</t>
  </si>
  <si>
    <t>Přehled akcí reprodukce majetku kraje v návrhu rozpočtu kraje na rok 2025</t>
  </si>
  <si>
    <t>Přehled akcí spolufinancovaných z evropských finančních zdrojů v návrhu rozpočtu kraje na rok 2025</t>
  </si>
  <si>
    <t>Příloha č. 9</t>
  </si>
  <si>
    <t>Rekonstrukce zdroje vytápění, středisko Karviná (Správa silnic Moravskoslezského kraje, příspěvková organizace, Ostrava)</t>
  </si>
  <si>
    <t>Rekonstrukce zdroje vytápění správní budovy, středisko Nový Jičín (Správa silnic Moravskoslezského kraje, příspěvková organizace, Ostrava)</t>
  </si>
  <si>
    <t>Hrad Sovinec - revitalizace vstupní části objektu (Muzeum v Bruntále, příspěvková organizace)</t>
  </si>
  <si>
    <t>Revitalizace zámeckého parku Nová Horka - I. etapa (Muzeum Novojičínska, příspěvková organizace)</t>
  </si>
  <si>
    <t>Požárně bezpečnostní řešení objektů Domova Odry (Domov Odry, příspěvková organizace)</t>
  </si>
  <si>
    <t>Rekonstrukce elektroinstalace (Střední zdravotnická škola a Vyšší odborná škola zdravotnická, Ostrava, příspěvková organizace)</t>
  </si>
  <si>
    <t>Přístavba tělocvičny Sportovního gymnázia Dany a Emila Zátopkových (Sportovní gymnázium Dany a Emila Zátopkových, Ostrava, příspěvková organizace)</t>
  </si>
  <si>
    <t>Rekonstrukce zdroje vytápění školy (Gymnázium, Bruntál, příspěvková organizace)</t>
  </si>
  <si>
    <t>Výstavba sportovního plaveckého bazénu při Sportovním gymnáziu Dany a Emila Zátopkových v Ostravě (Sportovní gymnázium Dany a Emila Zátopkových, Ostrava, příspěvková organizace)</t>
  </si>
  <si>
    <t>Modernizace přístrojového vybavení Metylovice (Odborný léčebný ústav Metylovice-Moravskoslezské sanatorium, příspěvková organizace)</t>
  </si>
  <si>
    <t>IP LIFE for Coal Mining Landscape Adaptation</t>
  </si>
  <si>
    <t>PROSTŘEDKY NA INDIVIDUÁLNÍ DOTACE
(v tis. Kč)</t>
  </si>
  <si>
    <t>Výdaje spojené s projektem Finanční zdraví obcí</t>
  </si>
  <si>
    <t>Odvětví financí a správy majetku celkem</t>
  </si>
  <si>
    <t>Odvětví dopravy celkem</t>
  </si>
  <si>
    <t>Bezpečnost silničního provozu</t>
  </si>
  <si>
    <t>Zajištění hasičské záchranné služby, bezpečnosti a ostrahy letiště</t>
  </si>
  <si>
    <t>Podpora aktivit obcí</t>
  </si>
  <si>
    <t>Infrastruktura pro dopravní obslužnost, informační panely</t>
  </si>
  <si>
    <t>Ostatní individuální dotace v odvětví dopravy</t>
  </si>
  <si>
    <t>Příspěvek Hasičskému záchrannému sboru Moravskoslezského kraje na výstavbu a rekonstrukci hasičských stanic</t>
  </si>
  <si>
    <t>Realizace koncepce ochrany obyvatel kraje - příprava na mimořádné situace</t>
  </si>
  <si>
    <t>Podpora organizacím na úseku bezpečnosti a Integrovaného záchranného systému (IZS)</t>
  </si>
  <si>
    <t>Pořízení techniky pro Hasičský záchranný sbor Moravskoslezského kraje</t>
  </si>
  <si>
    <t>Příspěvek obcím na financování potřeb jednotek sborů dobrovolných hasičů obcí</t>
  </si>
  <si>
    <t>Činnost krajského sdružení hasičů Moravskoslezského kraje</t>
  </si>
  <si>
    <t>Telekomunikace a datové přenosy pro Integrované bezpečnostní centrum Moravskoslezského kraje</t>
  </si>
  <si>
    <t>Příspěvek na zabezpečení úkolů jednotek požární ochrany v rámci veřejné služby</t>
  </si>
  <si>
    <t>Zabezpečení technické podpory pro Integrované bezpečnostní centrum Moravskoslezského kraje</t>
  </si>
  <si>
    <t>Ostatní individuální dotace v odvětví krizového řízení</t>
  </si>
  <si>
    <t>Výstavba nového koncertního sálu jako přístavba objektu Domu kultury města Ostravy</t>
  </si>
  <si>
    <t>Regionální funkce knihoven</t>
  </si>
  <si>
    <t>Kulturní akce krajského a nadregionálního významu</t>
  </si>
  <si>
    <t>Soutěže, festivaly a aktivity v oblasti kultury</t>
  </si>
  <si>
    <t>Prezentace kraje v oblasti kultury a zahraniční spolupráce</t>
  </si>
  <si>
    <t>Podpora kulturně kreativního odvětví, včetně audiovizí</t>
  </si>
  <si>
    <t>Prostředky na individuální dotace nezařazené do rozpočtu na rok 2025 (odvětví kultury)</t>
  </si>
  <si>
    <t>Podpora profesionálních divadel a profesionálního symfonického orchestru</t>
  </si>
  <si>
    <t>Odvětví prezentace kraje a edičního plánu celkem</t>
  </si>
  <si>
    <t>Podpora akcí celokrajského významu</t>
  </si>
  <si>
    <t>Podpora rozvojových projektů</t>
  </si>
  <si>
    <t>Spolufinancování provozu Moravskoslezského inovačního centra Ostrava, a.s.</t>
  </si>
  <si>
    <t>Green Light: Systém služeb podporující vznik nových inovativních firem</t>
  </si>
  <si>
    <t>Podpora odborného vzdělávání na vysokých školách v Moravskoslezském kraji</t>
  </si>
  <si>
    <t>Prostředky na individuální dotace nezařazené do rozpočtu na rok 2025 (odvětví regionálního rozvoje)</t>
  </si>
  <si>
    <t>Podpora významných akcí cestovního ruchu</t>
  </si>
  <si>
    <t>Turistické značení</t>
  </si>
  <si>
    <t>Podpora turistických areálů spadajících pod Dolní oblast Vítkovice</t>
  </si>
  <si>
    <t>Fond Pustevny</t>
  </si>
  <si>
    <t>Prostředky na individuální dotace nezařazené do rozpočtu na rok 2025 (odvětví cestovního ruchu)</t>
  </si>
  <si>
    <t>Multifunkční sportovní hala v Ostravě</t>
  </si>
  <si>
    <t>Výstavba vysokoškolských kolejí Ostravské univerzity</t>
  </si>
  <si>
    <t>Podpora soutěží a přehlídek</t>
  </si>
  <si>
    <t>Hry "Olympiády dětí a mládeže"</t>
  </si>
  <si>
    <t>Podpora sportu a pohybových aktivit občanů Moravskoslezského kraje</t>
  </si>
  <si>
    <t>Podpora talentů</t>
  </si>
  <si>
    <t>Významné akce kraje v oblasti volného času dětí a mládeže a další významné akce</t>
  </si>
  <si>
    <t>Podpora sportu v Moravskoslezském kraji</t>
  </si>
  <si>
    <t>Podpora integrace etnických menšin</t>
  </si>
  <si>
    <t>Podpora projektů sociální prevence a sociálního začleňování s regionální působností v Moravskoslezském kraji</t>
  </si>
  <si>
    <t>Podpora činností a celokrajských aktivit pro seniory Moravskoslezského kraje</t>
  </si>
  <si>
    <t>Podpora aktivit sociálního podnikání v Moravskoslezském kraji</t>
  </si>
  <si>
    <t>Dotace na podporu prorodinných aktivit</t>
  </si>
  <si>
    <t>Podpora investičních projektů realizovaných v sociální oblasti</t>
  </si>
  <si>
    <t>Prostředky na individuální dotace nezařazené do rozpočtu na rok 2025 (odvětví krizového řízení)</t>
  </si>
  <si>
    <t>Prostředky na individuální dotace nezařazené do rozpočtu na rok 2025 (odvětví prezentace kraje a edičního plánu)</t>
  </si>
  <si>
    <t>Prostředky na individuální dotace nezařazené do rozpočtu na rok 2025 (odvětví sociálních věcí)</t>
  </si>
  <si>
    <t>Prostředky na individuální dotace nezařazené do rozpočtu na rok 2025 (odvětví školství)</t>
  </si>
  <si>
    <t>Prostředky na individuální dotace nezařazené do rozpočtu na rok 2025 (odvětví zdravotnictví)</t>
  </si>
  <si>
    <t>Protialkoholní záchytná stanice</t>
  </si>
  <si>
    <t>Stabilizace zdravotnického personálu a vzdělávání</t>
  </si>
  <si>
    <t>Konference, sympózia a aktivity v oblasti zdravotnictví</t>
  </si>
  <si>
    <t>Prostředky na individuální dotace nezařazené do rozpočtu na rok 2025 (odvětví životního prostředí)</t>
  </si>
  <si>
    <t>Podpora předcházení vzniku odpadů a jejich třídění</t>
  </si>
  <si>
    <t>Informační systém o znečištění ovzduší</t>
  </si>
  <si>
    <t>Propagace v oblasti životního prostředí</t>
  </si>
  <si>
    <t>Péče o chráněné druhy živočichů</t>
  </si>
  <si>
    <t>Podpora výukového centra EVVO</t>
  </si>
  <si>
    <t>Podpora vodohospodářských projektů</t>
  </si>
  <si>
    <t>Prezentace kraje a ediční plán</t>
  </si>
  <si>
    <t>Rekapitulace prostředků na individuální dotace dle odvětví</t>
  </si>
  <si>
    <t>Prostředky na individuální dotace nezařazené do rozpočtu na rok 2025 (odvětví chytrého regionu)</t>
  </si>
  <si>
    <t>Odvětví chytrého regionu celkem</t>
  </si>
  <si>
    <t>Chytrý region</t>
  </si>
  <si>
    <t>PŘEHLED PROSTŘEDKŮ NA INDIVIDUÁLNÍ DOTACE V NÁVRHU ROZPOČTU KRAJE
NA ROK 2025 (v tis. Kč)</t>
  </si>
  <si>
    <t>Přehled prostředků na individuální dotace v návrhu rozpočtu kraje na rok 2025</t>
  </si>
  <si>
    <t>Rekonstrukce elektroinstalace (Obchodní akademie a Vyšší odborná škola sociálně právní, Ostrava, příspěvková organizace)</t>
  </si>
  <si>
    <t>Stavební úpravy objektu domova mládeže pro potřeby VOŠ Obchodní akademie a Vyšší odborná škola sociálně právní, Ostrava, příspěvková organizace)</t>
  </si>
  <si>
    <t>Sanace obvodového zdiva (Základní škola, Ostrava-Zábřeh, Kpt. Vajdy 1a, příspěvková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</si>
</sst>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12"/>
      <color rgb="FFFF0000"/>
      <name val="Times New Roman CE"/>
      <charset val="238"/>
    </font>
    <font>
      <sz val="12"/>
      <color rgb="FFFF0000"/>
      <name val="Tahoma"/>
      <family val="2"/>
      <charset val="238"/>
    </font>
    <font>
      <sz val="12"/>
      <color rgb="FFFF0000"/>
      <name val="Times New Roman CE"/>
      <family val="1"/>
      <charset val="238"/>
    </font>
    <font>
      <b/>
      <sz val="8"/>
      <color theme="4"/>
      <name val="Tahoma"/>
      <family val="2"/>
      <charset val="238"/>
    </font>
    <font>
      <sz val="8"/>
      <color theme="4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4"/>
      <name val="Tahoma"/>
      <family val="2"/>
      <charset val="238"/>
    </font>
    <font>
      <sz val="10"/>
      <color theme="4"/>
      <name val="Tahoma"/>
      <family val="2"/>
      <charset val="238"/>
    </font>
    <font>
      <sz val="11"/>
      <color theme="4"/>
      <name val="Calibri"/>
      <family val="2"/>
      <charset val="238"/>
      <scheme val="minor"/>
    </font>
    <font>
      <sz val="10"/>
      <color theme="4"/>
      <name val="Arial CE"/>
      <charset val="238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4" tint="-0.249977111117893"/>
      <name val="Tahoma"/>
      <family val="2"/>
      <charset val="238"/>
    </font>
    <font>
      <b/>
      <sz val="8"/>
      <color theme="4" tint="-0.249977111117893"/>
      <name val="Tahoma"/>
      <family val="2"/>
      <charset val="238"/>
    </font>
    <font>
      <sz val="10"/>
      <color rgb="FFFF0000"/>
      <name val="Arial CE"/>
      <charset val="238"/>
    </font>
    <font>
      <sz val="8"/>
      <color theme="4" tint="-0.249977111117893"/>
      <name val="Tahoma"/>
      <family val="2"/>
      <charset val="238"/>
    </font>
    <font>
      <sz val="10"/>
      <color theme="4" tint="-0.249977111117893"/>
      <name val="Tahoma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20" fillId="0" borderId="0"/>
    <xf numFmtId="0" fontId="33" fillId="0" borderId="0"/>
    <xf numFmtId="0" fontId="1" fillId="0" borderId="0">
      <alignment wrapText="1"/>
    </xf>
    <xf numFmtId="0" fontId="33" fillId="0" borderId="0"/>
    <xf numFmtId="0" fontId="33" fillId="0" borderId="0"/>
    <xf numFmtId="0" fontId="1" fillId="0" borderId="0">
      <alignment wrapText="1"/>
    </xf>
  </cellStyleXfs>
  <cellXfs count="503">
    <xf numFmtId="0" fontId="0" fillId="0" borderId="0" xfId="0"/>
    <xf numFmtId="0" fontId="4" fillId="0" borderId="0" xfId="1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5" xfId="1" applyFont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Border="1" applyAlignment="1">
      <alignment vertical="center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/>
    <xf numFmtId="0" fontId="5" fillId="0" borderId="0" xfId="1" applyFont="1" applyAlignment="1">
      <alignment horizontal="left" vertical="center"/>
    </xf>
    <xf numFmtId="4" fontId="5" fillId="0" borderId="0" xfId="1" applyNumberFormat="1" applyFont="1" applyAlignment="1">
      <alignment vertical="center" wrapText="1"/>
    </xf>
    <xf numFmtId="4" fontId="7" fillId="0" borderId="0" xfId="1" applyNumberFormat="1" applyFont="1" applyAlignment="1">
      <alignment vertical="center" wrapText="1"/>
    </xf>
    <xf numFmtId="4" fontId="5" fillId="0" borderId="0" xfId="1" applyNumberFormat="1" applyFont="1" applyAlignment="1">
      <alignment vertical="center"/>
    </xf>
    <xf numFmtId="0" fontId="1" fillId="0" borderId="0" xfId="1"/>
    <xf numFmtId="0" fontId="9" fillId="0" borderId="0" xfId="1" applyFont="1" applyAlignment="1">
      <alignment vertical="center"/>
    </xf>
    <xf numFmtId="0" fontId="10" fillId="0" borderId="0" xfId="1" applyFont="1"/>
    <xf numFmtId="0" fontId="11" fillId="0" borderId="0" xfId="1" applyFont="1"/>
    <xf numFmtId="0" fontId="13" fillId="0" borderId="0" xfId="1" applyFo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15" fillId="0" borderId="0" xfId="1" applyFont="1"/>
    <xf numFmtId="0" fontId="15" fillId="0" borderId="0" xfId="3" applyFont="1" applyAlignment="1">
      <alignment vertical="center"/>
    </xf>
    <xf numFmtId="4" fontId="5" fillId="0" borderId="0" xfId="3" applyNumberFormat="1" applyFont="1" applyAlignment="1">
      <alignment horizontal="right"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3" fontId="4" fillId="2" borderId="6" xfId="3" applyNumberFormat="1" applyFont="1" applyFill="1" applyBorder="1" applyAlignment="1">
      <alignment horizontal="right" vertical="center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16" xfId="3" applyNumberFormat="1" applyFont="1" applyFill="1" applyBorder="1" applyAlignment="1">
      <alignment vertical="center" wrapText="1"/>
    </xf>
    <xf numFmtId="49" fontId="4" fillId="2" borderId="17" xfId="3" applyNumberFormat="1" applyFont="1" applyFill="1" applyBorder="1" applyAlignment="1">
      <alignment horizontal="justify" vertical="center"/>
    </xf>
    <xf numFmtId="0" fontId="16" fillId="0" borderId="0" xfId="0" applyFont="1"/>
    <xf numFmtId="3" fontId="4" fillId="4" borderId="6" xfId="0" applyNumberFormat="1" applyFont="1" applyFill="1" applyBorder="1" applyAlignment="1">
      <alignment vertical="center"/>
    </xf>
    <xf numFmtId="3" fontId="20" fillId="0" borderId="0" xfId="7" applyNumberFormat="1"/>
    <xf numFmtId="3" fontId="20" fillId="0" borderId="0" xfId="7" applyNumberFormat="1" applyAlignment="1">
      <alignment horizontal="center"/>
    </xf>
    <xf numFmtId="3" fontId="21" fillId="0" borderId="0" xfId="7" applyNumberFormat="1" applyFont="1" applyAlignment="1">
      <alignment horizontal="center"/>
    </xf>
    <xf numFmtId="3" fontId="22" fillId="0" borderId="0" xfId="7" applyNumberFormat="1" applyFont="1"/>
    <xf numFmtId="3" fontId="21" fillId="0" borderId="6" xfId="7" applyNumberFormat="1" applyFont="1" applyBorder="1" applyAlignment="1">
      <alignment horizontal="center"/>
    </xf>
    <xf numFmtId="3" fontId="22" fillId="0" borderId="6" xfId="7" applyNumberFormat="1" applyFont="1" applyBorder="1"/>
    <xf numFmtId="49" fontId="22" fillId="0" borderId="6" xfId="7" applyNumberFormat="1" applyFont="1" applyBorder="1" applyAlignment="1">
      <alignment horizontal="center"/>
    </xf>
    <xf numFmtId="3" fontId="21" fillId="0" borderId="0" xfId="7" applyNumberFormat="1" applyFont="1"/>
    <xf numFmtId="49" fontId="22" fillId="0" borderId="6" xfId="7" applyNumberFormat="1" applyFont="1" applyBorder="1"/>
    <xf numFmtId="3" fontId="20" fillId="0" borderId="0" xfId="7" applyNumberFormat="1" applyAlignment="1">
      <alignment horizontal="right"/>
    </xf>
    <xf numFmtId="3" fontId="23" fillId="0" borderId="0" xfId="7" applyNumberFormat="1" applyFont="1"/>
    <xf numFmtId="3" fontId="23" fillId="0" borderId="0" xfId="7" applyNumberFormat="1" applyFont="1" applyAlignment="1">
      <alignment horizontal="center"/>
    </xf>
    <xf numFmtId="3" fontId="24" fillId="0" borderId="0" xfId="7" applyNumberFormat="1" applyFont="1"/>
    <xf numFmtId="3" fontId="20" fillId="0" borderId="6" xfId="7" applyNumberFormat="1" applyBorder="1"/>
    <xf numFmtId="3" fontId="23" fillId="0" borderId="6" xfId="7" applyNumberFormat="1" applyFont="1" applyBorder="1" applyAlignment="1">
      <alignment horizontal="center"/>
    </xf>
    <xf numFmtId="3" fontId="20" fillId="0" borderId="6" xfId="7" applyNumberFormat="1" applyBorder="1" applyAlignment="1">
      <alignment horizontal="center"/>
    </xf>
    <xf numFmtId="3" fontId="24" fillId="5" borderId="6" xfId="7" applyNumberFormat="1" applyFont="1" applyFill="1" applyBorder="1"/>
    <xf numFmtId="3" fontId="24" fillId="0" borderId="6" xfId="7" applyNumberFormat="1" applyFont="1" applyBorder="1"/>
    <xf numFmtId="3" fontId="20" fillId="6" borderId="6" xfId="7" applyNumberFormat="1" applyFill="1" applyBorder="1"/>
    <xf numFmtId="49" fontId="24" fillId="0" borderId="6" xfId="7" applyNumberFormat="1" applyFont="1" applyBorder="1" applyAlignment="1">
      <alignment horizontal="center"/>
    </xf>
    <xf numFmtId="0" fontId="20" fillId="0" borderId="0" xfId="7"/>
    <xf numFmtId="3" fontId="25" fillId="6" borderId="6" xfId="7" applyNumberFormat="1" applyFont="1" applyFill="1" applyBorder="1"/>
    <xf numFmtId="3" fontId="25" fillId="0" borderId="6" xfId="7" applyNumberFormat="1" applyFont="1" applyBorder="1"/>
    <xf numFmtId="3" fontId="24" fillId="0" borderId="6" xfId="8" applyNumberFormat="1" applyFont="1" applyBorder="1" applyAlignment="1">
      <alignment horizontal="right" vertical="center"/>
    </xf>
    <xf numFmtId="0" fontId="24" fillId="0" borderId="6" xfId="8" applyFont="1" applyBorder="1" applyAlignment="1">
      <alignment vertical="center"/>
    </xf>
    <xf numFmtId="3" fontId="11" fillId="0" borderId="6" xfId="7" applyNumberFormat="1" applyFont="1" applyBorder="1" applyAlignment="1">
      <alignment horizontal="right"/>
    </xf>
    <xf numFmtId="3" fontId="26" fillId="0" borderId="6" xfId="8" applyNumberFormat="1" applyFont="1" applyBorder="1" applyAlignment="1">
      <alignment horizontal="right"/>
    </xf>
    <xf numFmtId="3" fontId="26" fillId="0" borderId="6" xfId="8" applyNumberFormat="1" applyFont="1" applyBorder="1"/>
    <xf numFmtId="0" fontId="26" fillId="0" borderId="6" xfId="8" applyFont="1" applyBorder="1"/>
    <xf numFmtId="0" fontId="26" fillId="0" borderId="6" xfId="8" applyFont="1" applyBorder="1" applyAlignment="1">
      <alignment horizontal="right"/>
    </xf>
    <xf numFmtId="0" fontId="25" fillId="6" borderId="6" xfId="7" applyFont="1" applyFill="1" applyBorder="1" applyAlignment="1">
      <alignment horizontal="center"/>
    </xf>
    <xf numFmtId="0" fontId="25" fillId="0" borderId="6" xfId="7" applyFont="1" applyBorder="1" applyAlignment="1">
      <alignment horizontal="center"/>
    </xf>
    <xf numFmtId="0" fontId="24" fillId="0" borderId="21" xfId="7" applyFont="1" applyBorder="1" applyAlignment="1">
      <alignment horizontal="center"/>
    </xf>
    <xf numFmtId="0" fontId="20" fillId="0" borderId="21" xfId="7" applyBorder="1"/>
    <xf numFmtId="3" fontId="27" fillId="0" borderId="6" xfId="7" applyNumberFormat="1" applyFont="1" applyBorder="1" applyAlignment="1">
      <alignment vertical="center"/>
    </xf>
    <xf numFmtId="0" fontId="27" fillId="0" borderId="6" xfId="7" applyFont="1" applyBorder="1" applyAlignment="1">
      <alignment vertical="center"/>
    </xf>
    <xf numFmtId="3" fontId="26" fillId="0" borderId="6" xfId="7" applyNumberFormat="1" applyFont="1" applyBorder="1" applyAlignment="1">
      <alignment horizontal="right"/>
    </xf>
    <xf numFmtId="3" fontId="26" fillId="0" borderId="6" xfId="7" applyNumberFormat="1" applyFont="1" applyBorder="1"/>
    <xf numFmtId="0" fontId="26" fillId="0" borderId="6" xfId="7" applyFont="1" applyBorder="1"/>
    <xf numFmtId="0" fontId="24" fillId="0" borderId="6" xfId="7" applyFont="1" applyBorder="1" applyAlignment="1">
      <alignment horizontal="center"/>
    </xf>
    <xf numFmtId="0" fontId="20" fillId="0" borderId="6" xfId="7" applyBorder="1"/>
    <xf numFmtId="4" fontId="24" fillId="6" borderId="6" xfId="7" applyNumberFormat="1" applyFont="1" applyFill="1" applyBorder="1" applyAlignment="1">
      <alignment horizontal="right"/>
    </xf>
    <xf numFmtId="3" fontId="28" fillId="6" borderId="6" xfId="7" applyNumberFormat="1" applyFont="1" applyFill="1" applyBorder="1" applyAlignment="1">
      <alignment wrapText="1"/>
    </xf>
    <xf numFmtId="4" fontId="24" fillId="0" borderId="6" xfId="7" applyNumberFormat="1" applyFont="1" applyBorder="1" applyAlignment="1">
      <alignment horizontal="right"/>
    </xf>
    <xf numFmtId="3" fontId="28" fillId="0" borderId="6" xfId="7" applyNumberFormat="1" applyFont="1" applyBorder="1" applyAlignment="1">
      <alignment wrapText="1"/>
    </xf>
    <xf numFmtId="0" fontId="24" fillId="0" borderId="6" xfId="7" applyFont="1" applyBorder="1" applyAlignment="1">
      <alignment wrapText="1"/>
    </xf>
    <xf numFmtId="3" fontId="29" fillId="0" borderId="0" xfId="7" applyNumberFormat="1" applyFont="1"/>
    <xf numFmtId="4" fontId="26" fillId="6" borderId="6" xfId="7" applyNumberFormat="1" applyFont="1" applyFill="1" applyBorder="1" applyAlignment="1">
      <alignment horizontal="right"/>
    </xf>
    <xf numFmtId="3" fontId="26" fillId="6" borderId="6" xfId="7" applyNumberFormat="1" applyFont="1" applyFill="1" applyBorder="1" applyAlignment="1">
      <alignment wrapText="1"/>
    </xf>
    <xf numFmtId="4" fontId="26" fillId="0" borderId="6" xfId="7" applyNumberFormat="1" applyFont="1" applyBorder="1" applyAlignment="1">
      <alignment horizontal="right"/>
    </xf>
    <xf numFmtId="3" fontId="26" fillId="0" borderId="6" xfId="7" applyNumberFormat="1" applyFont="1" applyBorder="1" applyAlignment="1">
      <alignment wrapText="1"/>
    </xf>
    <xf numFmtId="0" fontId="26" fillId="0" borderId="6" xfId="7" applyFont="1" applyBorder="1" applyAlignment="1">
      <alignment wrapText="1"/>
    </xf>
    <xf numFmtId="3" fontId="26" fillId="3" borderId="6" xfId="7" applyNumberFormat="1" applyFont="1" applyFill="1" applyBorder="1" applyAlignment="1">
      <alignment wrapText="1"/>
    </xf>
    <xf numFmtId="3" fontId="26" fillId="6" borderId="6" xfId="7" applyNumberFormat="1" applyFont="1" applyFill="1" applyBorder="1"/>
    <xf numFmtId="3" fontId="26" fillId="3" borderId="6" xfId="7" applyNumberFormat="1" applyFont="1" applyFill="1" applyBorder="1"/>
    <xf numFmtId="4" fontId="26" fillId="0" borderId="6" xfId="7" applyNumberFormat="1" applyFont="1" applyBorder="1" applyAlignment="1">
      <alignment wrapText="1"/>
    </xf>
    <xf numFmtId="4" fontId="24" fillId="6" borderId="6" xfId="7" applyNumberFormat="1" applyFont="1" applyFill="1" applyBorder="1" applyAlignment="1">
      <alignment horizontal="center" vertical="center" wrapText="1"/>
    </xf>
    <xf numFmtId="4" fontId="24" fillId="0" borderId="6" xfId="7" applyNumberFormat="1" applyFont="1" applyBorder="1" applyAlignment="1">
      <alignment horizontal="center" vertical="center" wrapText="1"/>
    </xf>
    <xf numFmtId="0" fontId="24" fillId="0" borderId="6" xfId="7" applyFont="1" applyBorder="1" applyAlignment="1">
      <alignment horizontal="center" vertical="center" wrapText="1"/>
    </xf>
    <xf numFmtId="4" fontId="30" fillId="0" borderId="0" xfId="7" applyNumberFormat="1" applyFont="1"/>
    <xf numFmtId="3" fontId="15" fillId="6" borderId="32" xfId="9" applyNumberFormat="1" applyFont="1" applyFill="1" applyBorder="1"/>
    <xf numFmtId="4" fontId="30" fillId="6" borderId="36" xfId="9" applyNumberFormat="1" applyFont="1" applyFill="1" applyBorder="1"/>
    <xf numFmtId="4" fontId="30" fillId="0" borderId="36" xfId="9" applyNumberFormat="1" applyFont="1" applyBorder="1"/>
    <xf numFmtId="4" fontId="11" fillId="0" borderId="6" xfId="10" applyNumberFormat="1" applyFont="1" applyBorder="1"/>
    <xf numFmtId="0" fontId="11" fillId="0" borderId="4" xfId="10" applyFont="1" applyBorder="1" applyAlignment="1">
      <alignment horizontal="left"/>
    </xf>
    <xf numFmtId="4" fontId="30" fillId="6" borderId="32" xfId="9" applyNumberFormat="1" applyFont="1" applyFill="1" applyBorder="1"/>
    <xf numFmtId="4" fontId="30" fillId="0" borderId="32" xfId="9" applyNumberFormat="1" applyFont="1" applyBorder="1"/>
    <xf numFmtId="3" fontId="15" fillId="6" borderId="37" xfId="9" applyNumberFormat="1" applyFont="1" applyFill="1" applyBorder="1"/>
    <xf numFmtId="4" fontId="30" fillId="6" borderId="6" xfId="10" applyNumberFormat="1" applyFont="1" applyFill="1" applyBorder="1"/>
    <xf numFmtId="4" fontId="30" fillId="0" borderId="6" xfId="10" applyNumberFormat="1" applyFont="1" applyBorder="1"/>
    <xf numFmtId="4" fontId="31" fillId="6" borderId="6" xfId="10" applyNumberFormat="1" applyFont="1" applyFill="1" applyBorder="1"/>
    <xf numFmtId="4" fontId="31" fillId="0" borderId="6" xfId="10" applyNumberFormat="1" applyFont="1" applyBorder="1"/>
    <xf numFmtId="4" fontId="32" fillId="0" borderId="6" xfId="10" applyNumberFormat="1" applyFont="1" applyBorder="1"/>
    <xf numFmtId="0" fontId="32" fillId="0" borderId="4" xfId="10" applyFont="1" applyBorder="1" applyAlignment="1">
      <alignment horizontal="left"/>
    </xf>
    <xf numFmtId="49" fontId="31" fillId="0" borderId="0" xfId="7" applyNumberFormat="1" applyFont="1" applyAlignment="1">
      <alignment horizontal="right"/>
    </xf>
    <xf numFmtId="0" fontId="25" fillId="0" borderId="0" xfId="7" applyFont="1"/>
    <xf numFmtId="3" fontId="31" fillId="6" borderId="6" xfId="7" applyNumberFormat="1" applyFont="1" applyFill="1" applyBorder="1" applyAlignment="1">
      <alignment wrapText="1"/>
    </xf>
    <xf numFmtId="3" fontId="31" fillId="0" borderId="6" xfId="7" applyNumberFormat="1" applyFont="1" applyBorder="1" applyAlignment="1">
      <alignment wrapText="1"/>
    </xf>
    <xf numFmtId="3" fontId="24" fillId="0" borderId="6" xfId="7" applyNumberFormat="1" applyFont="1" applyBorder="1" applyAlignment="1">
      <alignment wrapText="1"/>
    </xf>
    <xf numFmtId="3" fontId="30" fillId="0" borderId="0" xfId="7" applyNumberFormat="1" applyFont="1"/>
    <xf numFmtId="3" fontId="30" fillId="6" borderId="6" xfId="7" applyNumberFormat="1" applyFont="1" applyFill="1" applyBorder="1" applyAlignment="1">
      <alignment wrapText="1"/>
    </xf>
    <xf numFmtId="3" fontId="30" fillId="0" borderId="6" xfId="7" applyNumberFormat="1" applyFont="1" applyBorder="1" applyAlignment="1">
      <alignment wrapText="1"/>
    </xf>
    <xf numFmtId="3" fontId="30" fillId="6" borderId="6" xfId="7" applyNumberFormat="1" applyFont="1" applyFill="1" applyBorder="1"/>
    <xf numFmtId="3" fontId="30" fillId="0" borderId="6" xfId="7" applyNumberFormat="1" applyFont="1" applyBorder="1"/>
    <xf numFmtId="4" fontId="31" fillId="6" borderId="6" xfId="7" applyNumberFormat="1" applyFont="1" applyFill="1" applyBorder="1" applyAlignment="1">
      <alignment horizontal="center" vertical="center" wrapText="1"/>
    </xf>
    <xf numFmtId="4" fontId="31" fillId="0" borderId="6" xfId="7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/>
    </xf>
    <xf numFmtId="0" fontId="5" fillId="0" borderId="0" xfId="12" applyFont="1" applyAlignment="1">
      <alignment horizontal="left"/>
    </xf>
    <xf numFmtId="0" fontId="4" fillId="0" borderId="5" xfId="1" applyFont="1" applyBorder="1" applyAlignment="1">
      <alignment horizontal="left" vertical="center" wrapText="1"/>
    </xf>
    <xf numFmtId="3" fontId="20" fillId="8" borderId="6" xfId="7" applyNumberFormat="1" applyFill="1" applyBorder="1"/>
    <xf numFmtId="0" fontId="5" fillId="0" borderId="0" xfId="3" applyFont="1" applyAlignment="1">
      <alignment vertical="center" wrapText="1"/>
    </xf>
    <xf numFmtId="4" fontId="5" fillId="0" borderId="0" xfId="3" applyNumberFormat="1" applyFont="1" applyAlignment="1">
      <alignment vertical="center"/>
    </xf>
    <xf numFmtId="49" fontId="5" fillId="2" borderId="31" xfId="4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35" fillId="0" borderId="0" xfId="1" applyFont="1" applyAlignment="1">
      <alignment vertical="center"/>
    </xf>
    <xf numFmtId="0" fontId="4" fillId="0" borderId="7" xfId="3" applyFont="1" applyBorder="1" applyAlignment="1">
      <alignment horizontal="justify" vertical="center"/>
    </xf>
    <xf numFmtId="3" fontId="4" fillId="0" borderId="32" xfId="3" applyNumberFormat="1" applyFont="1" applyBorder="1" applyAlignment="1">
      <alignment horizontal="right" vertical="center"/>
    </xf>
    <xf numFmtId="3" fontId="4" fillId="0" borderId="6" xfId="3" applyNumberFormat="1" applyFont="1" applyBorder="1" applyAlignment="1">
      <alignment horizontal="right" vertical="center"/>
    </xf>
    <xf numFmtId="0" fontId="4" fillId="0" borderId="6" xfId="3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/>
    </xf>
    <xf numFmtId="0" fontId="5" fillId="0" borderId="20" xfId="3" applyFont="1" applyBorder="1" applyAlignment="1">
      <alignment vertical="center"/>
    </xf>
    <xf numFmtId="0" fontId="5" fillId="0" borderId="31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4" fontId="16" fillId="0" borderId="0" xfId="0" applyNumberFormat="1" applyFont="1"/>
    <xf numFmtId="0" fontId="4" fillId="0" borderId="0" xfId="15" applyFont="1" applyAlignment="1">
      <alignment vertical="center"/>
    </xf>
    <xf numFmtId="0" fontId="4" fillId="0" borderId="7" xfId="1" applyFont="1" applyBorder="1" applyAlignment="1">
      <alignment horizontal="justify" vertical="center" wrapText="1"/>
    </xf>
    <xf numFmtId="0" fontId="5" fillId="0" borderId="0" xfId="12" applyFont="1"/>
    <xf numFmtId="0" fontId="4" fillId="0" borderId="47" xfId="1" applyFont="1" applyBorder="1" applyAlignment="1">
      <alignment horizontal="justify" vertical="center" wrapText="1"/>
    </xf>
    <xf numFmtId="0" fontId="5" fillId="0" borderId="52" xfId="12" applyFont="1" applyBorder="1" applyAlignment="1">
      <alignment horizontal="left"/>
    </xf>
    <xf numFmtId="0" fontId="4" fillId="0" borderId="20" xfId="1" applyFont="1" applyBorder="1" applyAlignment="1">
      <alignment horizontal="justify" vertical="center" wrapText="1"/>
    </xf>
    <xf numFmtId="0" fontId="4" fillId="0" borderId="55" xfId="12" applyFont="1" applyBorder="1" applyAlignment="1">
      <alignment horizontal="center" vertical="center"/>
    </xf>
    <xf numFmtId="0" fontId="4" fillId="0" borderId="46" xfId="13" applyFont="1" applyBorder="1" applyAlignment="1">
      <alignment horizontal="left" vertical="center" wrapText="1"/>
    </xf>
    <xf numFmtId="3" fontId="4" fillId="4" borderId="6" xfId="15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7" xfId="15" applyNumberFormat="1" applyFont="1" applyFill="1" applyBorder="1" applyAlignment="1">
      <alignment horizontal="right" vertical="center" wrapText="1"/>
    </xf>
    <xf numFmtId="3" fontId="39" fillId="0" borderId="56" xfId="15" applyNumberFormat="1" applyFont="1" applyBorder="1" applyAlignment="1">
      <alignment horizontal="left" vertical="center" wrapText="1"/>
    </xf>
    <xf numFmtId="3" fontId="20" fillId="7" borderId="0" xfId="7" applyNumberFormat="1" applyFill="1"/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5" fillId="2" borderId="16" xfId="3" applyFont="1" applyFill="1" applyBorder="1" applyAlignment="1">
      <alignment vertical="center" wrapText="1"/>
    </xf>
    <xf numFmtId="0" fontId="4" fillId="0" borderId="22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4" fontId="30" fillId="0" borderId="32" xfId="10" applyNumberFormat="1" applyFont="1" applyBorder="1"/>
    <xf numFmtId="4" fontId="30" fillId="6" borderId="32" xfId="10" applyNumberFormat="1" applyFont="1" applyFill="1" applyBorder="1"/>
    <xf numFmtId="3" fontId="4" fillId="0" borderId="6" xfId="15" applyNumberFormat="1" applyFont="1" applyBorder="1" applyAlignment="1">
      <alignment horizontal="right" vertical="center" wrapText="1"/>
    </xf>
    <xf numFmtId="0" fontId="30" fillId="0" borderId="0" xfId="1" applyFont="1"/>
    <xf numFmtId="0" fontId="41" fillId="0" borderId="0" xfId="1" applyFont="1"/>
    <xf numFmtId="164" fontId="4" fillId="0" borderId="7" xfId="1" applyNumberFormat="1" applyFont="1" applyBorder="1" applyAlignment="1">
      <alignment horizontal="right" vertical="center"/>
    </xf>
    <xf numFmtId="3" fontId="5" fillId="4" borderId="6" xfId="1" applyNumberFormat="1" applyFont="1" applyFill="1" applyBorder="1" applyAlignment="1">
      <alignment vertical="center" wrapText="1"/>
    </xf>
    <xf numFmtId="3" fontId="4" fillId="4" borderId="6" xfId="1" applyNumberFormat="1" applyFont="1" applyFill="1" applyBorder="1" applyAlignment="1">
      <alignment vertical="center" wrapText="1"/>
    </xf>
    <xf numFmtId="3" fontId="5" fillId="0" borderId="6" xfId="1" applyNumberFormat="1" applyFont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3" fontId="40" fillId="0" borderId="6" xfId="7" applyNumberFormat="1" applyFont="1" applyBorder="1"/>
    <xf numFmtId="3" fontId="42" fillId="6" borderId="6" xfId="7" applyNumberFormat="1" applyFont="1" applyFill="1" applyBorder="1" applyAlignment="1">
      <alignment wrapText="1"/>
    </xf>
    <xf numFmtId="0" fontId="4" fillId="0" borderId="50" xfId="1" applyFont="1" applyBorder="1" applyAlignment="1">
      <alignment horizontal="center" vertical="center"/>
    </xf>
    <xf numFmtId="0" fontId="4" fillId="0" borderId="48" xfId="1" applyFont="1" applyBorder="1" applyAlignment="1">
      <alignment vertical="center" wrapText="1"/>
    </xf>
    <xf numFmtId="0" fontId="43" fillId="0" borderId="0" xfId="12" applyFont="1"/>
    <xf numFmtId="0" fontId="5" fillId="0" borderId="0" xfId="1" applyFont="1" applyAlignment="1">
      <alignment horizontal="center" vertical="center" wrapText="1"/>
    </xf>
    <xf numFmtId="0" fontId="44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2" applyFont="1"/>
    <xf numFmtId="0" fontId="4" fillId="0" borderId="21" xfId="13" applyFont="1" applyBorder="1" applyAlignment="1">
      <alignment horizontal="left" vertical="center" wrapText="1"/>
    </xf>
    <xf numFmtId="0" fontId="4" fillId="0" borderId="19" xfId="13" applyFont="1" applyBorder="1" applyAlignment="1">
      <alignment horizontal="left" vertical="center" wrapText="1"/>
    </xf>
    <xf numFmtId="0" fontId="4" fillId="0" borderId="28" xfId="12" applyFont="1" applyBorder="1" applyAlignment="1">
      <alignment horizontal="center" vertical="center"/>
    </xf>
    <xf numFmtId="0" fontId="4" fillId="0" borderId="49" xfId="12" applyFont="1" applyBorder="1" applyAlignment="1">
      <alignment horizontal="center" vertical="center"/>
    </xf>
    <xf numFmtId="0" fontId="4" fillId="0" borderId="4" xfId="12" applyFont="1" applyBorder="1" applyAlignment="1">
      <alignment horizontal="center" vertical="center"/>
    </xf>
    <xf numFmtId="0" fontId="4" fillId="0" borderId="6" xfId="13" applyFont="1" applyBorder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0" xfId="15" applyFont="1" applyBorder="1" applyAlignment="1">
      <alignment vertical="center" wrapText="1"/>
    </xf>
    <xf numFmtId="0" fontId="4" fillId="0" borderId="4" xfId="15" applyFont="1" applyBorder="1" applyAlignment="1">
      <alignment vertical="center" wrapText="1"/>
    </xf>
    <xf numFmtId="3" fontId="39" fillId="0" borderId="52" xfId="15" applyNumberFormat="1" applyFont="1" applyBorder="1" applyAlignment="1">
      <alignment horizontal="right" vertical="center" wrapText="1"/>
    </xf>
    <xf numFmtId="0" fontId="41" fillId="0" borderId="0" xfId="1" applyFont="1" applyAlignment="1">
      <alignment horizontal="left"/>
    </xf>
    <xf numFmtId="0" fontId="4" fillId="0" borderId="15" xfId="3" applyFont="1" applyBorder="1" applyAlignment="1">
      <alignment vertical="center"/>
    </xf>
    <xf numFmtId="0" fontId="4" fillId="0" borderId="29" xfId="3" applyFont="1" applyBorder="1" applyAlignment="1">
      <alignment vertical="center" wrapText="1"/>
    </xf>
    <xf numFmtId="3" fontId="4" fillId="0" borderId="29" xfId="3" applyNumberFormat="1" applyFont="1" applyBorder="1" applyAlignment="1">
      <alignment vertical="center" wrapText="1"/>
    </xf>
    <xf numFmtId="49" fontId="4" fillId="0" borderId="18" xfId="3" applyNumberFormat="1" applyFont="1" applyBorder="1" applyAlignment="1">
      <alignment horizontal="justify" vertical="center"/>
    </xf>
    <xf numFmtId="0" fontId="46" fillId="0" borderId="0" xfId="12" applyFont="1" applyAlignment="1">
      <alignment horizontal="center"/>
    </xf>
    <xf numFmtId="0" fontId="47" fillId="0" borderId="0" xfId="12" applyFont="1"/>
    <xf numFmtId="3" fontId="4" fillId="0" borderId="0" xfId="12" applyNumberFormat="1" applyFont="1"/>
    <xf numFmtId="0" fontId="44" fillId="0" borderId="0" xfId="1" applyFont="1"/>
    <xf numFmtId="0" fontId="44" fillId="0" borderId="0" xfId="12" applyFont="1"/>
    <xf numFmtId="0" fontId="43" fillId="0" borderId="0" xfId="1" applyFont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4" fillId="0" borderId="4" xfId="12" applyFont="1" applyBorder="1" applyAlignment="1">
      <alignment horizontal="center" vertical="center" wrapText="1"/>
    </xf>
    <xf numFmtId="0" fontId="44" fillId="0" borderId="0" xfId="1" applyFont="1" applyAlignment="1">
      <alignment horizontal="justify" vertical="center"/>
    </xf>
    <xf numFmtId="0" fontId="43" fillId="0" borderId="0" xfId="1" applyFont="1"/>
    <xf numFmtId="0" fontId="4" fillId="0" borderId="21" xfId="13" applyFont="1" applyBorder="1" applyAlignment="1">
      <alignment vertical="center" wrapText="1"/>
    </xf>
    <xf numFmtId="0" fontId="44" fillId="0" borderId="0" xfId="1" applyFont="1" applyAlignment="1">
      <alignment horizontal="left" vertical="center"/>
    </xf>
    <xf numFmtId="3" fontId="44" fillId="0" borderId="0" xfId="12" applyNumberFormat="1" applyFont="1"/>
    <xf numFmtId="0" fontId="44" fillId="0" borderId="0" xfId="12" applyFont="1" applyAlignment="1">
      <alignment horizontal="center"/>
    </xf>
    <xf numFmtId="0" fontId="26" fillId="9" borderId="6" xfId="7" applyFont="1" applyFill="1" applyBorder="1"/>
    <xf numFmtId="0" fontId="26" fillId="9" borderId="6" xfId="7" applyFont="1" applyFill="1" applyBorder="1" applyAlignment="1">
      <alignment wrapText="1"/>
    </xf>
    <xf numFmtId="3" fontId="20" fillId="9" borderId="6" xfId="7" applyNumberFormat="1" applyFill="1" applyBorder="1"/>
    <xf numFmtId="3" fontId="30" fillId="9" borderId="6" xfId="7" applyNumberFormat="1" applyFont="1" applyFill="1" applyBorder="1" applyAlignment="1">
      <alignment wrapText="1"/>
    </xf>
    <xf numFmtId="49" fontId="5" fillId="0" borderId="8" xfId="0" applyNumberFormat="1" applyFont="1" applyBorder="1" applyAlignment="1">
      <alignment vertical="center" wrapText="1"/>
    </xf>
    <xf numFmtId="49" fontId="5" fillId="0" borderId="31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3" fontId="50" fillId="0" borderId="20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" fontId="50" fillId="0" borderId="27" xfId="0" applyNumberFormat="1" applyFont="1" applyBorder="1" applyAlignment="1">
      <alignment vertical="center" wrapText="1"/>
    </xf>
    <xf numFmtId="3" fontId="5" fillId="0" borderId="31" xfId="0" applyNumberFormat="1" applyFont="1" applyBorder="1" applyAlignment="1">
      <alignment vertical="center" wrapText="1"/>
    </xf>
    <xf numFmtId="1" fontId="4" fillId="0" borderId="6" xfId="15" applyNumberFormat="1" applyFont="1" applyBorder="1" applyAlignment="1">
      <alignment horizontal="center" vertical="center" wrapText="1"/>
    </xf>
    <xf numFmtId="3" fontId="4" fillId="0" borderId="6" xfId="15" applyNumberFormat="1" applyFont="1" applyBorder="1" applyAlignment="1">
      <alignment horizontal="center" vertical="center" wrapText="1"/>
    </xf>
    <xf numFmtId="4" fontId="37" fillId="0" borderId="0" xfId="0" applyNumberFormat="1" applyFont="1"/>
    <xf numFmtId="3" fontId="5" fillId="4" borderId="6" xfId="15" applyNumberFormat="1" applyFont="1" applyFill="1" applyBorder="1" applyAlignment="1">
      <alignment horizontal="right" vertical="center" wrapText="1"/>
    </xf>
    <xf numFmtId="3" fontId="5" fillId="4" borderId="7" xfId="15" applyNumberFormat="1" applyFont="1" applyFill="1" applyBorder="1" applyAlignment="1">
      <alignment horizontal="right" vertical="center" wrapText="1"/>
    </xf>
    <xf numFmtId="0" fontId="26" fillId="9" borderId="0" xfId="7" applyFont="1" applyFill="1" applyAlignment="1">
      <alignment wrapText="1"/>
    </xf>
    <xf numFmtId="3" fontId="26" fillId="0" borderId="0" xfId="7" applyNumberFormat="1" applyFont="1" applyAlignment="1">
      <alignment wrapText="1"/>
    </xf>
    <xf numFmtId="4" fontId="26" fillId="0" borderId="0" xfId="7" applyNumberFormat="1" applyFont="1" applyAlignment="1">
      <alignment horizontal="right"/>
    </xf>
    <xf numFmtId="3" fontId="26" fillId="6" borderId="0" xfId="7" applyNumberFormat="1" applyFont="1" applyFill="1" applyAlignment="1">
      <alignment wrapText="1"/>
    </xf>
    <xf numFmtId="4" fontId="26" fillId="6" borderId="0" xfId="7" applyNumberFormat="1" applyFont="1" applyFill="1" applyAlignment="1">
      <alignment horizontal="right"/>
    </xf>
    <xf numFmtId="3" fontId="42" fillId="6" borderId="0" xfId="7" applyNumberFormat="1" applyFont="1" applyFill="1" applyAlignment="1">
      <alignment wrapText="1"/>
    </xf>
    <xf numFmtId="0" fontId="3" fillId="0" borderId="0" xfId="1" applyFont="1" applyAlignment="1">
      <alignment horizontal="left"/>
    </xf>
    <xf numFmtId="0" fontId="5" fillId="4" borderId="38" xfId="12" applyFont="1" applyFill="1" applyBorder="1" applyAlignment="1">
      <alignment horizontal="center" vertical="center" wrapText="1"/>
    </xf>
    <xf numFmtId="0" fontId="5" fillId="4" borderId="39" xfId="12" applyFont="1" applyFill="1" applyBorder="1" applyAlignment="1">
      <alignment horizontal="center" vertical="center" wrapText="1"/>
    </xf>
    <xf numFmtId="3" fontId="5" fillId="4" borderId="40" xfId="12" applyNumberFormat="1" applyFont="1" applyFill="1" applyBorder="1" applyAlignment="1">
      <alignment horizontal="center" vertical="center" wrapText="1"/>
    </xf>
    <xf numFmtId="0" fontId="5" fillId="4" borderId="41" xfId="1" applyFont="1" applyFill="1" applyBorder="1" applyAlignment="1">
      <alignment horizontal="center" vertical="center" wrapText="1"/>
    </xf>
    <xf numFmtId="3" fontId="4" fillId="4" borderId="6" xfId="12" applyNumberFormat="1" applyFont="1" applyFill="1" applyBorder="1" applyAlignment="1">
      <alignment vertical="center"/>
    </xf>
    <xf numFmtId="3" fontId="5" fillId="4" borderId="43" xfId="12" applyNumberFormat="1" applyFont="1" applyFill="1" applyBorder="1"/>
    <xf numFmtId="3" fontId="4" fillId="4" borderId="19" xfId="12" applyNumberFormat="1" applyFont="1" applyFill="1" applyBorder="1" applyAlignment="1">
      <alignment vertical="center"/>
    </xf>
    <xf numFmtId="3" fontId="5" fillId="4" borderId="16" xfId="1" applyNumberFormat="1" applyFont="1" applyFill="1" applyBorder="1" applyAlignment="1">
      <alignment wrapText="1"/>
    </xf>
    <xf numFmtId="0" fontId="5" fillId="4" borderId="17" xfId="1" applyFont="1" applyFill="1" applyBorder="1" applyAlignment="1">
      <alignment wrapText="1"/>
    </xf>
    <xf numFmtId="0" fontId="43" fillId="4" borderId="43" xfId="12" applyFont="1" applyFill="1" applyBorder="1"/>
    <xf numFmtId="0" fontId="43" fillId="4" borderId="58" xfId="1" applyFont="1" applyFill="1" applyBorder="1" applyAlignment="1">
      <alignment wrapText="1"/>
    </xf>
    <xf numFmtId="0" fontId="5" fillId="4" borderId="57" xfId="12" applyFont="1" applyFill="1" applyBorder="1" applyAlignment="1">
      <alignment horizontal="left"/>
    </xf>
    <xf numFmtId="0" fontId="4" fillId="0" borderId="28" xfId="12" applyFont="1" applyBorder="1" applyAlignment="1">
      <alignment horizontal="center" vertical="center" wrapText="1"/>
    </xf>
    <xf numFmtId="0" fontId="4" fillId="0" borderId="35" xfId="12" applyFont="1" applyBorder="1" applyAlignment="1">
      <alignment horizontal="center" vertical="center" wrapText="1"/>
    </xf>
    <xf numFmtId="0" fontId="54" fillId="0" borderId="0" xfId="12" applyFont="1" applyAlignment="1">
      <alignment horizontal="center"/>
    </xf>
    <xf numFmtId="3" fontId="4" fillId="0" borderId="0" xfId="1" applyNumberFormat="1" applyFont="1" applyAlignment="1">
      <alignment horizontal="right" vertical="center"/>
    </xf>
    <xf numFmtId="0" fontId="55" fillId="0" borderId="0" xfId="12" applyFont="1" applyAlignment="1">
      <alignment horizontal="left"/>
    </xf>
    <xf numFmtId="0" fontId="55" fillId="0" borderId="0" xfId="12" applyFont="1"/>
    <xf numFmtId="3" fontId="55" fillId="0" borderId="0" xfId="12" applyNumberFormat="1" applyFont="1"/>
    <xf numFmtId="0" fontId="55" fillId="0" borderId="0" xfId="1" applyFont="1" applyAlignment="1">
      <alignment wrapText="1"/>
    </xf>
    <xf numFmtId="3" fontId="5" fillId="0" borderId="0" xfId="12" applyNumberFormat="1" applyFont="1"/>
    <xf numFmtId="0" fontId="5" fillId="0" borderId="0" xfId="1" applyFont="1" applyAlignment="1">
      <alignment wrapText="1"/>
    </xf>
    <xf numFmtId="4" fontId="0" fillId="0" borderId="0" xfId="0" applyNumberFormat="1"/>
    <xf numFmtId="0" fontId="4" fillId="0" borderId="61" xfId="1" applyFont="1" applyBorder="1" applyAlignment="1">
      <alignment horizontal="justify" vertical="center" wrapText="1"/>
    </xf>
    <xf numFmtId="0" fontId="56" fillId="0" borderId="0" xfId="0" applyFont="1"/>
    <xf numFmtId="0" fontId="35" fillId="0" borderId="0" xfId="0" applyFont="1" applyAlignment="1">
      <alignment horizontal="center"/>
    </xf>
    <xf numFmtId="3" fontId="55" fillId="0" borderId="51" xfId="12" applyNumberFormat="1" applyFont="1" applyBorder="1"/>
    <xf numFmtId="0" fontId="55" fillId="0" borderId="51" xfId="1" applyFont="1" applyBorder="1" applyAlignment="1">
      <alignment wrapText="1"/>
    </xf>
    <xf numFmtId="0" fontId="55" fillId="0" borderId="0" xfId="12" applyFont="1" applyAlignment="1">
      <alignment horizontal="center"/>
    </xf>
    <xf numFmtId="0" fontId="57" fillId="0" borderId="0" xfId="1" applyFont="1" applyAlignment="1">
      <alignment wrapText="1"/>
    </xf>
    <xf numFmtId="0" fontId="5" fillId="0" borderId="52" xfId="12" applyFont="1" applyBorder="1"/>
    <xf numFmtId="3" fontId="5" fillId="0" borderId="52" xfId="12" applyNumberFormat="1" applyFont="1" applyBorder="1"/>
    <xf numFmtId="0" fontId="57" fillId="0" borderId="52" xfId="1" applyFont="1" applyBorder="1" applyAlignment="1">
      <alignment wrapText="1"/>
    </xf>
    <xf numFmtId="0" fontId="53" fillId="0" borderId="0" xfId="0" applyFont="1"/>
    <xf numFmtId="0" fontId="4" fillId="0" borderId="62" xfId="1" applyFont="1" applyBorder="1" applyAlignment="1">
      <alignment horizontal="left" vertical="center" wrapText="1"/>
    </xf>
    <xf numFmtId="0" fontId="58" fillId="0" borderId="0" xfId="1" applyFont="1" applyAlignment="1">
      <alignment horizontal="left"/>
    </xf>
    <xf numFmtId="0" fontId="57" fillId="0" borderId="0" xfId="12" applyFont="1"/>
    <xf numFmtId="3" fontId="57" fillId="0" borderId="0" xfId="12" applyNumberFormat="1" applyFont="1"/>
    <xf numFmtId="0" fontId="59" fillId="0" borderId="0" xfId="0" applyFont="1" applyAlignment="1">
      <alignment horizontal="center"/>
    </xf>
    <xf numFmtId="0" fontId="59" fillId="0" borderId="0" xfId="0" applyFont="1"/>
    <xf numFmtId="0" fontId="59" fillId="0" borderId="0" xfId="0" applyFont="1" applyAlignment="1">
      <alignment horizontal="right"/>
    </xf>
    <xf numFmtId="4" fontId="59" fillId="0" borderId="0" xfId="0" applyNumberFormat="1" applyFont="1"/>
    <xf numFmtId="49" fontId="59" fillId="0" borderId="0" xfId="0" applyNumberFormat="1" applyFont="1" applyAlignment="1">
      <alignment horizontal="right"/>
    </xf>
    <xf numFmtId="0" fontId="60" fillId="0" borderId="0" xfId="0" applyFont="1"/>
    <xf numFmtId="3" fontId="40" fillId="7" borderId="6" xfId="7" applyNumberFormat="1" applyFont="1" applyFill="1" applyBorder="1"/>
    <xf numFmtId="3" fontId="15" fillId="0" borderId="0" xfId="0" applyNumberFormat="1" applyFont="1"/>
    <xf numFmtId="3" fontId="10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11" xfId="15" applyNumberFormat="1" applyFont="1" applyBorder="1" applyAlignment="1">
      <alignment horizontal="center" vertical="center" wrapText="1"/>
    </xf>
    <xf numFmtId="3" fontId="5" fillId="4" borderId="11" xfId="15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4" borderId="12" xfId="15" applyNumberFormat="1" applyFont="1" applyFill="1" applyBorder="1" applyAlignment="1">
      <alignment horizontal="center" vertical="center" wrapText="1"/>
    </xf>
    <xf numFmtId="3" fontId="5" fillId="0" borderId="56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38" fillId="0" borderId="0" xfId="0" applyNumberFormat="1" applyFont="1" applyAlignment="1">
      <alignment vertical="center"/>
    </xf>
    <xf numFmtId="3" fontId="5" fillId="0" borderId="26" xfId="0" applyNumberFormat="1" applyFont="1" applyBorder="1" applyAlignment="1">
      <alignment vertical="center" wrapText="1"/>
    </xf>
    <xf numFmtId="3" fontId="5" fillId="0" borderId="27" xfId="0" applyNumberFormat="1" applyFont="1" applyBorder="1" applyAlignment="1">
      <alignment vertical="center" wrapText="1"/>
    </xf>
    <xf numFmtId="0" fontId="4" fillId="0" borderId="4" xfId="15" applyFont="1" applyBorder="1" applyAlignment="1">
      <alignment horizontal="left" vertical="center" wrapText="1"/>
    </xf>
    <xf numFmtId="3" fontId="50" fillId="0" borderId="65" xfId="0" applyNumberFormat="1" applyFont="1" applyBorder="1" applyAlignment="1">
      <alignment vertical="center" wrapText="1"/>
    </xf>
    <xf numFmtId="0" fontId="61" fillId="0" borderId="0" xfId="0" applyFont="1" applyAlignment="1">
      <alignment vertical="center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5" fillId="4" borderId="16" xfId="15" applyNumberFormat="1" applyFont="1" applyFill="1" applyBorder="1" applyAlignment="1">
      <alignment horizontal="right" vertical="center" wrapText="1"/>
    </xf>
    <xf numFmtId="3" fontId="5" fillId="4" borderId="17" xfId="15" applyNumberFormat="1" applyFont="1" applyFill="1" applyBorder="1" applyAlignment="1">
      <alignment horizontal="right"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56" xfId="15" applyNumberFormat="1" applyFont="1" applyBorder="1" applyAlignment="1">
      <alignment horizontal="left" vertical="center" wrapText="1"/>
    </xf>
    <xf numFmtId="3" fontId="50" fillId="0" borderId="66" xfId="0" applyNumberFormat="1" applyFont="1" applyBorder="1" applyAlignment="1">
      <alignment vertical="center" wrapText="1"/>
    </xf>
    <xf numFmtId="3" fontId="5" fillId="0" borderId="0" xfId="15" applyNumberFormat="1" applyFont="1" applyAlignment="1">
      <alignment horizontal="center" vertical="center" wrapText="1"/>
    </xf>
    <xf numFmtId="3" fontId="5" fillId="0" borderId="0" xfId="15" applyNumberFormat="1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0" fillId="0" borderId="0" xfId="0" applyNumberFormat="1" applyFont="1" applyAlignment="1">
      <alignment vertical="center" wrapText="1"/>
    </xf>
    <xf numFmtId="3" fontId="39" fillId="0" borderId="0" xfId="15" applyNumberFormat="1" applyFont="1" applyAlignment="1">
      <alignment horizontal="center" vertical="center" wrapText="1"/>
    </xf>
    <xf numFmtId="3" fontId="39" fillId="0" borderId="0" xfId="15" applyNumberFormat="1" applyFont="1" applyAlignment="1">
      <alignment horizontal="right" vertical="center" wrapText="1"/>
    </xf>
    <xf numFmtId="3" fontId="62" fillId="0" borderId="0" xfId="15" applyNumberFormat="1" applyFont="1" applyAlignment="1">
      <alignment horizontal="center" vertical="center" wrapText="1"/>
    </xf>
    <xf numFmtId="3" fontId="5" fillId="0" borderId="0" xfId="15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10" borderId="11" xfId="0" applyFont="1" applyFill="1" applyBorder="1" applyAlignment="1">
      <alignment horizontal="center" vertical="center" wrapText="1"/>
    </xf>
    <xf numFmtId="49" fontId="5" fillId="10" borderId="11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4" fillId="0" borderId="27" xfId="0" applyFont="1" applyBorder="1" applyAlignment="1">
      <alignment vertical="center"/>
    </xf>
    <xf numFmtId="0" fontId="63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4" borderId="6" xfId="0" applyNumberFormat="1" applyFont="1" applyFill="1" applyBorder="1" applyAlignment="1">
      <alignment horizontal="right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4" borderId="31" xfId="0" applyFont="1" applyFill="1" applyBorder="1" applyAlignment="1">
      <alignment vertical="center"/>
    </xf>
    <xf numFmtId="3" fontId="5" fillId="4" borderId="32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4" fillId="4" borderId="19" xfId="0" applyNumberFormat="1" applyFont="1" applyFill="1" applyBorder="1" applyAlignment="1">
      <alignment vertical="center"/>
    </xf>
    <xf numFmtId="0" fontId="5" fillId="4" borderId="71" xfId="2" applyFont="1" applyFill="1" applyBorder="1" applyAlignment="1">
      <alignment horizontal="left" vertical="center"/>
    </xf>
    <xf numFmtId="0" fontId="5" fillId="4" borderId="72" xfId="0" applyFont="1" applyFill="1" applyBorder="1" applyAlignment="1">
      <alignment vertical="center" wrapText="1"/>
    </xf>
    <xf numFmtId="3" fontId="5" fillId="4" borderId="31" xfId="0" applyNumberFormat="1" applyFont="1" applyFill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5" fillId="0" borderId="42" xfId="2" applyFont="1" applyBorder="1" applyAlignment="1">
      <alignment horizontal="left" vertical="center"/>
    </xf>
    <xf numFmtId="0" fontId="5" fillId="0" borderId="52" xfId="0" applyFont="1" applyBorder="1" applyAlignment="1">
      <alignment vertical="center" wrapText="1"/>
    </xf>
    <xf numFmtId="0" fontId="5" fillId="0" borderId="52" xfId="0" applyFont="1" applyBorder="1" applyAlignment="1">
      <alignment vertical="center"/>
    </xf>
    <xf numFmtId="3" fontId="4" fillId="0" borderId="52" xfId="0" applyNumberFormat="1" applyFont="1" applyBorder="1" applyAlignment="1">
      <alignment horizontal="right" vertical="center"/>
    </xf>
    <xf numFmtId="49" fontId="4" fillId="0" borderId="5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4" borderId="15" xfId="2" applyFont="1" applyFill="1" applyBorder="1" applyAlignment="1">
      <alignment horizontal="left" vertical="center"/>
    </xf>
    <xf numFmtId="0" fontId="5" fillId="4" borderId="29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/>
    </xf>
    <xf numFmtId="3" fontId="4" fillId="4" borderId="29" xfId="0" applyNumberFormat="1" applyFont="1" applyFill="1" applyBorder="1" applyAlignment="1">
      <alignment horizontal="right" vertical="center"/>
    </xf>
    <xf numFmtId="49" fontId="4" fillId="4" borderId="59" xfId="0" applyNumberFormat="1" applyFont="1" applyFill="1" applyBorder="1" applyAlignment="1">
      <alignment horizontal="center" vertical="center"/>
    </xf>
    <xf numFmtId="3" fontId="5" fillId="4" borderId="16" xfId="0" applyNumberFormat="1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4" fontId="5" fillId="0" borderId="0" xfId="0" applyNumberFormat="1" applyFont="1"/>
    <xf numFmtId="4" fontId="4" fillId="0" borderId="0" xfId="0" applyNumberFormat="1" applyFont="1"/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justify" vertical="center"/>
    </xf>
    <xf numFmtId="0" fontId="5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3" fontId="4" fillId="0" borderId="21" xfId="1" applyNumberFormat="1" applyFont="1" applyBorder="1" applyAlignment="1">
      <alignment vertic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wrapText="1"/>
    </xf>
    <xf numFmtId="0" fontId="4" fillId="0" borderId="8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2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1" fillId="0" borderId="5" xfId="1" applyBorder="1" applyAlignment="1">
      <alignment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3" fontId="4" fillId="4" borderId="32" xfId="0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/>
    <xf numFmtId="0" fontId="35" fillId="0" borderId="0" xfId="0" applyFont="1" applyAlignment="1">
      <alignment horizontal="left" wrapText="1"/>
    </xf>
    <xf numFmtId="0" fontId="5" fillId="4" borderId="8" xfId="2" applyFont="1" applyFill="1" applyBorder="1" applyAlignment="1">
      <alignment horizontal="left" vertical="center" wrapText="1"/>
    </xf>
    <xf numFmtId="0" fontId="5" fillId="4" borderId="31" xfId="2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63" fillId="4" borderId="27" xfId="0" applyFont="1" applyFill="1" applyBorder="1"/>
    <xf numFmtId="3" fontId="5" fillId="4" borderId="1" xfId="2" applyNumberFormat="1" applyFont="1" applyFill="1" applyBorder="1" applyAlignment="1">
      <alignment horizontal="center" vertical="center" wrapText="1"/>
    </xf>
    <xf numFmtId="3" fontId="5" fillId="4" borderId="68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3" fillId="4" borderId="11" xfId="0" applyFont="1" applyFill="1" applyBorder="1" applyAlignment="1">
      <alignment horizontal="center" vertical="center" wrapText="1"/>
    </xf>
    <xf numFmtId="0" fontId="63" fillId="4" borderId="1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63" fillId="10" borderId="2" xfId="0" applyFont="1" applyFill="1" applyBorder="1" applyAlignment="1">
      <alignment vertical="center" wrapText="1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center" vertical="center" wrapText="1"/>
    </xf>
    <xf numFmtId="4" fontId="5" fillId="2" borderId="19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0" xfId="1" applyNumberFormat="1" applyFont="1" applyFill="1" applyBorder="1" applyAlignment="1">
      <alignment horizontal="center" vertical="center" wrapText="1"/>
    </xf>
    <xf numFmtId="0" fontId="67" fillId="0" borderId="24" xfId="1" applyFont="1" applyBorder="1" applyAlignment="1">
      <alignment vertical="center"/>
    </xf>
    <xf numFmtId="0" fontId="1" fillId="0" borderId="24" xfId="1" applyBorder="1" applyAlignment="1">
      <alignment vertical="center"/>
    </xf>
    <xf numFmtId="0" fontId="34" fillId="0" borderId="24" xfId="14" applyFont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vertical="center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54" xfId="15" applyNumberFormat="1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3" fontId="10" fillId="0" borderId="51" xfId="0" applyNumberFormat="1" applyFont="1" applyBorder="1" applyAlignment="1">
      <alignment horizontal="center" vertical="center" wrapText="1"/>
    </xf>
    <xf numFmtId="3" fontId="10" fillId="0" borderId="52" xfId="0" applyNumberFormat="1" applyFont="1" applyBorder="1" applyAlignment="1">
      <alignment horizontal="center" vertical="center" wrapText="1"/>
    </xf>
    <xf numFmtId="3" fontId="4" fillId="0" borderId="63" xfId="0" applyNumberFormat="1" applyFont="1" applyBorder="1" applyAlignment="1">
      <alignment horizontal="center" vertical="center" wrapText="1"/>
    </xf>
    <xf numFmtId="3" fontId="4" fillId="0" borderId="64" xfId="0" applyNumberFormat="1" applyFont="1" applyBorder="1" applyAlignment="1">
      <alignment horizontal="center" vertical="center" wrapText="1"/>
    </xf>
    <xf numFmtId="3" fontId="5" fillId="0" borderId="23" xfId="15" applyNumberFormat="1" applyFont="1" applyBorder="1" applyAlignment="1">
      <alignment horizontal="center" vertical="center" wrapText="1"/>
    </xf>
    <xf numFmtId="3" fontId="5" fillId="0" borderId="34" xfId="15" applyNumberFormat="1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36" fillId="4" borderId="2" xfId="0" applyNumberFormat="1" applyFont="1" applyFill="1" applyBorder="1" applyAlignment="1">
      <alignment horizontal="center" vertical="center" wrapText="1"/>
    </xf>
    <xf numFmtId="3" fontId="5" fillId="4" borderId="30" xfId="0" applyNumberFormat="1" applyFont="1" applyFill="1" applyBorder="1" applyAlignment="1">
      <alignment horizontal="center" vertical="center" wrapText="1"/>
    </xf>
    <xf numFmtId="3" fontId="5" fillId="4" borderId="25" xfId="0" applyNumberFormat="1" applyFont="1" applyFill="1" applyBorder="1" applyAlignment="1">
      <alignment horizontal="center" vertical="center" wrapText="1"/>
    </xf>
    <xf numFmtId="3" fontId="5" fillId="4" borderId="15" xfId="15" applyNumberFormat="1" applyFont="1" applyFill="1" applyBorder="1" applyAlignment="1">
      <alignment horizontal="left" vertical="center" wrapText="1"/>
    </xf>
    <xf numFmtId="3" fontId="5" fillId="4" borderId="29" xfId="15" applyNumberFormat="1" applyFont="1" applyFill="1" applyBorder="1" applyAlignment="1">
      <alignment horizontal="left" vertical="center" wrapText="1"/>
    </xf>
    <xf numFmtId="3" fontId="5" fillId="4" borderId="59" xfId="15" applyNumberFormat="1" applyFont="1" applyFill="1" applyBorder="1" applyAlignment="1">
      <alignment horizontal="left" vertical="center" wrapText="1"/>
    </xf>
    <xf numFmtId="3" fontId="5" fillId="4" borderId="13" xfId="15" applyNumberFormat="1" applyFont="1" applyFill="1" applyBorder="1" applyAlignment="1">
      <alignment horizontal="center" vertical="center" wrapText="1"/>
    </xf>
    <xf numFmtId="3" fontId="5" fillId="4" borderId="24" xfId="15" applyNumberFormat="1" applyFont="1" applyFill="1" applyBorder="1" applyAlignment="1">
      <alignment horizontal="center" vertical="center" wrapText="1"/>
    </xf>
    <xf numFmtId="3" fontId="5" fillId="4" borderId="25" xfId="15" applyNumberFormat="1" applyFont="1" applyFill="1" applyBorder="1" applyAlignment="1">
      <alignment horizontal="center" vertical="center" wrapText="1"/>
    </xf>
    <xf numFmtId="3" fontId="5" fillId="4" borderId="4" xfId="15" applyNumberFormat="1" applyFont="1" applyFill="1" applyBorder="1" applyAlignment="1">
      <alignment horizontal="left" vertical="center" wrapText="1"/>
    </xf>
    <xf numFmtId="3" fontId="5" fillId="4" borderId="6" xfId="15" applyNumberFormat="1" applyFont="1" applyFill="1" applyBorder="1" applyAlignment="1">
      <alignment horizontal="left" vertical="center" wrapText="1"/>
    </xf>
    <xf numFmtId="3" fontId="5" fillId="4" borderId="13" xfId="15" applyNumberFormat="1" applyFont="1" applyFill="1" applyBorder="1" applyAlignment="1">
      <alignment horizontal="center" vertical="center"/>
    </xf>
    <xf numFmtId="3" fontId="5" fillId="4" borderId="24" xfId="15" applyNumberFormat="1" applyFont="1" applyFill="1" applyBorder="1" applyAlignment="1">
      <alignment horizontal="center" vertical="center"/>
    </xf>
    <xf numFmtId="3" fontId="5" fillId="4" borderId="25" xfId="15" applyNumberFormat="1" applyFont="1" applyFill="1" applyBorder="1" applyAlignment="1">
      <alignment horizontal="center" vertical="center"/>
    </xf>
    <xf numFmtId="3" fontId="5" fillId="4" borderId="8" xfId="15" applyNumberFormat="1" applyFont="1" applyFill="1" applyBorder="1" applyAlignment="1">
      <alignment horizontal="left" vertical="center" wrapText="1"/>
    </xf>
    <xf numFmtId="3" fontId="5" fillId="4" borderId="31" xfId="15" applyNumberFormat="1" applyFont="1" applyFill="1" applyBorder="1" applyAlignment="1">
      <alignment horizontal="left" vertical="center" wrapText="1"/>
    </xf>
    <xf numFmtId="3" fontId="5" fillId="4" borderId="5" xfId="15" applyNumberFormat="1" applyFont="1" applyFill="1" applyBorder="1" applyAlignment="1">
      <alignment horizontal="left" vertical="center" wrapText="1"/>
    </xf>
    <xf numFmtId="3" fontId="5" fillId="0" borderId="56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28" xfId="12" applyFont="1" applyBorder="1" applyAlignment="1">
      <alignment horizontal="center" vertical="center"/>
    </xf>
    <xf numFmtId="0" fontId="4" fillId="0" borderId="35" xfId="12" applyFont="1" applyBorder="1" applyAlignment="1">
      <alignment horizontal="center" vertical="center"/>
    </xf>
    <xf numFmtId="0" fontId="4" fillId="0" borderId="49" xfId="12" applyFont="1" applyBorder="1" applyAlignment="1">
      <alignment horizontal="center" vertical="center"/>
    </xf>
    <xf numFmtId="0" fontId="4" fillId="0" borderId="21" xfId="13" applyFont="1" applyBorder="1" applyAlignment="1">
      <alignment horizontal="left" vertical="center" wrapText="1"/>
    </xf>
    <xf numFmtId="0" fontId="4" fillId="0" borderId="48" xfId="13" applyFont="1" applyBorder="1" applyAlignment="1">
      <alignment horizontal="left" vertical="center" wrapText="1"/>
    </xf>
    <xf numFmtId="0" fontId="4" fillId="0" borderId="19" xfId="13" applyFont="1" applyBorder="1" applyAlignment="1">
      <alignment horizontal="left" vertical="center" wrapText="1"/>
    </xf>
    <xf numFmtId="0" fontId="4" fillId="0" borderId="28" xfId="12" applyFont="1" applyBorder="1" applyAlignment="1">
      <alignment horizontal="center" vertical="center" wrapText="1"/>
    </xf>
    <xf numFmtId="0" fontId="4" fillId="0" borderId="35" xfId="12" applyFont="1" applyBorder="1" applyAlignment="1">
      <alignment horizontal="center" vertical="center" wrapText="1"/>
    </xf>
    <xf numFmtId="0" fontId="4" fillId="0" borderId="49" xfId="12" applyFont="1" applyBorder="1" applyAlignment="1">
      <alignment horizontal="center" vertical="center" wrapText="1"/>
    </xf>
    <xf numFmtId="0" fontId="4" fillId="0" borderId="4" xfId="12" applyFont="1" applyBorder="1" applyAlignment="1">
      <alignment horizontal="center" vertical="center"/>
    </xf>
    <xf numFmtId="0" fontId="4" fillId="0" borderId="6" xfId="13" applyFont="1" applyBorder="1" applyAlignment="1">
      <alignment horizontal="left" vertical="center" wrapText="1"/>
    </xf>
    <xf numFmtId="0" fontId="4" fillId="0" borderId="21" xfId="13" applyFont="1" applyBorder="1" applyAlignment="1">
      <alignment vertical="center" wrapText="1"/>
    </xf>
    <xf numFmtId="0" fontId="4" fillId="0" borderId="48" xfId="13" applyFont="1" applyBorder="1" applyAlignment="1">
      <alignment vertical="center" wrapText="1"/>
    </xf>
    <xf numFmtId="0" fontId="2" fillId="0" borderId="0" xfId="12" applyFont="1" applyAlignment="1">
      <alignment horizontal="center" vertical="center"/>
    </xf>
    <xf numFmtId="0" fontId="4" fillId="0" borderId="44" xfId="12" applyFont="1" applyBorder="1" applyAlignment="1">
      <alignment horizontal="center" vertical="center" wrapText="1"/>
    </xf>
    <xf numFmtId="0" fontId="4" fillId="0" borderId="45" xfId="13" applyFont="1" applyBorder="1" applyAlignment="1">
      <alignment horizontal="left" vertical="center" wrapText="1"/>
    </xf>
    <xf numFmtId="0" fontId="5" fillId="4" borderId="33" xfId="12" applyFont="1" applyFill="1" applyBorder="1" applyAlignment="1">
      <alignment horizontal="left"/>
    </xf>
    <xf numFmtId="0" fontId="5" fillId="4" borderId="16" xfId="12" applyFont="1" applyFill="1" applyBorder="1" applyAlignment="1">
      <alignment horizontal="left"/>
    </xf>
    <xf numFmtId="0" fontId="4" fillId="0" borderId="19" xfId="13" applyFont="1" applyBorder="1" applyAlignment="1">
      <alignment vertical="center" wrapText="1"/>
    </xf>
    <xf numFmtId="0" fontId="24" fillId="0" borderId="27" xfId="7" applyFont="1" applyBorder="1" applyAlignment="1">
      <alignment horizontal="center"/>
    </xf>
  </cellXfs>
  <cellStyles count="19">
    <cellStyle name="Normální" xfId="0" builtinId="0"/>
    <cellStyle name="Normální 11 2 2" xfId="17" xr:uid="{88E29D3B-8364-4C97-904C-4C9FDB47970A}"/>
    <cellStyle name="Normální 12" xfId="16" xr:uid="{9B34A9AD-DF13-4EF1-9977-2247FFD022BA}"/>
    <cellStyle name="Normální 2" xfId="1" xr:uid="{00000000-0005-0000-0000-000001000000}"/>
    <cellStyle name="Normální 2 2" xfId="15" xr:uid="{BDA3D37D-CB00-4239-AFEC-DFC7951A1F86}"/>
    <cellStyle name="Normální 2 3" xfId="18" xr:uid="{3966CAE2-0A5D-4ABC-847C-3129476A482B}"/>
    <cellStyle name="Normální 3" xfId="2" xr:uid="{00000000-0005-0000-0000-000002000000}"/>
    <cellStyle name="Normální 3 2" xfId="5" xr:uid="{00000000-0005-0000-0000-000003000000}"/>
    <cellStyle name="Normální 3 2 2" xfId="14" xr:uid="{00000000-0005-0000-0000-000004000000}"/>
    <cellStyle name="Normální 4" xfId="6" xr:uid="{00000000-0005-0000-0000-000005000000}"/>
    <cellStyle name="Normální 4 2" xfId="10" xr:uid="{00000000-0005-0000-0000-000006000000}"/>
    <cellStyle name="Normální 4 3" xfId="11" xr:uid="{00000000-0005-0000-0000-000007000000}"/>
    <cellStyle name="normální_10_BILANCEE" xfId="9" xr:uid="{00000000-0005-0000-0000-000008000000}"/>
    <cellStyle name="normální_EU akce-upr 2" xfId="3" xr:uid="{00000000-0005-0000-0000-00000B000000}"/>
    <cellStyle name="normální_Metodika k RS od 1.5.2005" xfId="13" xr:uid="{00000000-0005-0000-0000-00000C000000}"/>
    <cellStyle name="normální_Rozborová tab. příjmů" xfId="12" xr:uid="{00000000-0005-0000-0000-00000D000000}"/>
    <cellStyle name="normální_Rozpočet 12-2005 - Grafy" xfId="7" xr:uid="{00000000-0005-0000-0000-00000E000000}"/>
    <cellStyle name="normální_Výroční zpráva 2002" xfId="8" xr:uid="{00000000-0005-0000-0000-00000F000000}"/>
    <cellStyle name="Procenta 2" xfId="4" xr:uid="{00000000-0005-0000-0000-000010000000}"/>
  </cellStyles>
  <dxfs count="0"/>
  <tableStyles count="0" defaultTableStyle="TableStyleMedium2" defaultPivotStyle="PivotStyleLight16"/>
  <colors>
    <mruColors>
      <color rgb="FFFFCC99"/>
      <color rgb="FFE2AA00"/>
      <color rgb="FF5089BC"/>
      <color rgb="FFF1A78A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hartsheet" Target="chartsheets/sheet4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2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0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6128"/>
        <c:axId val="449009656"/>
      </c:barChart>
      <c:catAx>
        <c:axId val="4490061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9656"/>
        <c:crosses val="autoZero"/>
        <c:auto val="1"/>
        <c:lblAlgn val="ctr"/>
        <c:lblOffset val="100"/>
        <c:tickMarkSkip val="1"/>
        <c:noMultiLvlLbl val="0"/>
      </c:catAx>
      <c:valAx>
        <c:axId val="44900965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2021 až 2024, 
návrh rozpočtu Moravskoslezského kraje na rok 2025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60043663353019E-2"/>
                  <c:y val="-6.6709844219381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9-45D2-8A5A-1F72D2BEC06E}"/>
                </c:ext>
              </c:extLst>
            </c:dLbl>
            <c:dLbl>
              <c:idx val="1"/>
              <c:layout>
                <c:manualLayout>
                  <c:x val="1.62227073705891E-2"/>
                  <c:y val="-3.5578583583670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9-45D2-8A5A-1F72D2BEC06E}"/>
                </c:ext>
              </c:extLst>
            </c:dLbl>
            <c:dLbl>
              <c:idx val="2"/>
              <c:layout>
                <c:manualLayout>
                  <c:x val="1.6232357376692558E-2"/>
                  <c:y val="-3.7794727539227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9-45D2-8A5A-1F72D2BEC06E}"/>
                </c:ext>
              </c:extLst>
            </c:dLbl>
            <c:dLbl>
              <c:idx val="3"/>
              <c:layout>
                <c:manualLayout>
                  <c:x val="1.6216956833142455E-2"/>
                  <c:y val="-4.887547913363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9-45D2-8A5A-1F72D2BEC06E}"/>
                </c:ext>
              </c:extLst>
            </c:dLbl>
            <c:dLbl>
              <c:idx val="4"/>
              <c:layout>
                <c:manualLayout>
                  <c:x val="1.4598353693970995E-2"/>
                  <c:y val="-5.5622955199432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AF-4A42-AB96-670C864D6B7F}"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9-45D2-8A5A-1F72D2BEC06E}"/>
                </c:ext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9-45D2-8A5A-1F72D2BEC06E}"/>
                </c:ext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I.s'!$V$8:$Z$8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'Zdrojová data I.s'!$V$9:$Z$9</c:f>
              <c:numCache>
                <c:formatCode>#,##0</c:formatCode>
                <c:ptCount val="5"/>
                <c:pt idx="0">
                  <c:v>9863084</c:v>
                </c:pt>
                <c:pt idx="1">
                  <c:v>11993157</c:v>
                </c:pt>
                <c:pt idx="2">
                  <c:v>14892238</c:v>
                </c:pt>
                <c:pt idx="3">
                  <c:v>15502013</c:v>
                </c:pt>
                <c:pt idx="4">
                  <c:v>17029618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89-45D2-8A5A-1F72D2BEC06E}"/>
            </c:ext>
          </c:extLst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Schválený rozpočet - státní dotace</c:v>
                </c:pt>
              </c:strCache>
            </c:strRef>
          </c:tx>
          <c:spPr>
            <a:pattFill prst="dkUpDiag">
              <a:fgClr>
                <a:srgbClr val="9999FF"/>
              </a:fgClr>
              <a:bgClr>
                <a:schemeClr val="bg1"/>
              </a:bgClr>
            </a:pattFill>
            <a:ln w="12700">
              <a:solidFill>
                <a:sysClr val="windowText" lastClr="000000"/>
              </a:solidFill>
              <a:extLst>
                <a:ext uri="{C807C97D-BFC1-408E-A445-0C87EB9F89A2}">
                  <ask:lineSketchStyleProps xmlns:ask="http://schemas.microsoft.com/office/drawing/2018/sketchyshapes">
                    <ask:type>
                      <ask:lineSketchNone/>
                    </ask:type>
                  </ask:lineSketchStyleProps>
                </a:ext>
              </a:extLst>
            </a:ln>
          </c:spPr>
          <c:invertIfNegative val="0"/>
          <c:dLbls>
            <c:dLbl>
              <c:idx val="3"/>
              <c:layout>
                <c:manualLayout>
                  <c:x val="1.4595261149828209E-2"/>
                  <c:y val="-4.44322537578491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98-4D64-9D66-5E41C8278C90}"/>
                </c:ext>
              </c:extLst>
            </c:dLbl>
            <c:dLbl>
              <c:idx val="4"/>
              <c:layout>
                <c:manualLayout>
                  <c:x val="1.2976314394640885E-2"/>
                  <c:y val="-1.334950924786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F-4A42-AB96-670C864D6B7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I.s'!$V$8:$Z$8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'Zdrojová data I.s'!$V$10:$Z$10</c:f>
              <c:numCache>
                <c:formatCode>#,##0</c:formatCode>
                <c:ptCount val="5"/>
                <c:pt idx="3">
                  <c:v>23978940</c:v>
                </c:pt>
                <c:pt idx="4">
                  <c:v>25692457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89-45D2-8A5A-1F72D2BEC06E}"/>
            </c:ext>
          </c:extLst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978165896471281E-2"/>
                  <c:y val="-8.8946458959175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D9-468F-B22A-244A55F59BC7}"/>
                </c:ext>
              </c:extLst>
            </c:dLbl>
            <c:dLbl>
              <c:idx val="1"/>
              <c:layout>
                <c:manualLayout>
                  <c:x val="9.7394144260154157E-3"/>
                  <c:y val="-8.151709809801652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45-4809-9B3C-7F1DB82D7CC1}"/>
                </c:ext>
              </c:extLst>
            </c:dLbl>
            <c:dLbl>
              <c:idx val="2"/>
              <c:layout>
                <c:manualLayout>
                  <c:x val="1.1351869783199717E-2"/>
                  <c:y val="-4.44322537578491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9-45D2-8A5A-1F72D2BEC06E}"/>
                </c:ext>
              </c:extLst>
            </c:dLbl>
            <c:dLbl>
              <c:idx val="3"/>
              <c:layout>
                <c:manualLayout>
                  <c:x val="9.7322357959806639E-3"/>
                  <c:y val="-2.2249182079773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9-45D2-8A5A-1F72D2BEC06E}"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9-45D2-8A5A-1F72D2BEC06E}"/>
                </c:ext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9-45D2-8A5A-1F72D2BEC06E}"/>
                </c:ext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I.s'!$V$8:$Z$8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'Zdrojová data I.s'!$V$11:$Z$11</c:f>
              <c:numCache>
                <c:formatCode>#,##0</c:formatCode>
                <c:ptCount val="5"/>
                <c:pt idx="0">
                  <c:v>25796612</c:v>
                </c:pt>
                <c:pt idx="1">
                  <c:v>27157982</c:v>
                </c:pt>
                <c:pt idx="2">
                  <c:v>29752930</c:v>
                </c:pt>
                <c:pt idx="3">
                  <c:v>5679545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D89-45D2-8A5A-1F72D2BEC06E}"/>
            </c:ext>
          </c:extLst>
        </c:ser>
        <c:ser>
          <c:idx val="3"/>
          <c:order val="3"/>
          <c:tx>
            <c:strRef>
              <c:f>'Zdrojová data I.s'!$A$12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844978107648009E-2"/>
                  <c:y val="-4.4473229479587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3-40D5-88D4-08C8F1B364D5}"/>
                </c:ext>
              </c:extLst>
            </c:dLbl>
            <c:dLbl>
              <c:idx val="1"/>
              <c:layout>
                <c:manualLayout>
                  <c:x val="1.7844978107648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3-40D5-88D4-08C8F1B364D5}"/>
                </c:ext>
              </c:extLst>
            </c:dLbl>
            <c:dLbl>
              <c:idx val="2"/>
              <c:layout>
                <c:manualLayout>
                  <c:x val="1.9478828852031071E-2"/>
                  <c:y val="-1.7785754136106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23-40D5-88D4-08C8F1B364D5}"/>
                </c:ext>
              </c:extLst>
            </c:dLbl>
            <c:dLbl>
              <c:idx val="3"/>
              <c:layout>
                <c:manualLayout>
                  <c:x val="1.1351869783199599E-2"/>
                  <c:y val="0"/>
                </c:manualLayout>
              </c:layout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3-40D5-88D4-08C8F1B364D5}"/>
                </c:ext>
              </c:extLst>
            </c:dLbl>
            <c:dLbl>
              <c:idx val="4"/>
              <c:layout>
                <c:manualLayout>
                  <c:x val="1.1354275095310774E-2"/>
                  <c:y val="-4.4498364159546314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F-4A42-AB96-670C864D6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'Zdrojová data I.s'!$V$8:$Z$8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'Zdrojová data I.s'!$V$12:$Z$12</c:f>
              <c:numCache>
                <c:formatCode>#,##0</c:formatCode>
                <c:ptCount val="5"/>
                <c:pt idx="4">
                  <c:v>4151951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F-4A42-AB96-670C864D6B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9007696"/>
        <c:axId val="449008088"/>
        <c:axId val="0"/>
      </c:bar3DChart>
      <c:catAx>
        <c:axId val="4490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8088"/>
        <c:scaling>
          <c:orientation val="minMax"/>
          <c:max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069418405627E-3"/>
              <c:y val="0.501626298091490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7696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568806696300708"/>
          <c:y val="0.96296462150818019"/>
          <c:w val="0.84735948996521537"/>
          <c:h val="3.70353330879646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2019 až 2022,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2023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540193349374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C-47BD-9D51-7B7374AF2AA1}"/>
                </c:ext>
              </c:extLst>
            </c:dLbl>
            <c:dLbl>
              <c:idx val="1"/>
              <c:layout>
                <c:manualLayout>
                  <c:x val="1.1146838532777733E-2"/>
                  <c:y val="-2.1241830885254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C-47BD-9D51-7B7374AF2AA1}"/>
                </c:ext>
              </c:extLst>
            </c:dLbl>
            <c:dLbl>
              <c:idx val="2"/>
              <c:layout>
                <c:manualLayout>
                  <c:x val="1.1146838532777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7BD-9D51-7B7374AF2AA1}"/>
                </c:ext>
              </c:extLst>
            </c:dLbl>
            <c:dLbl>
              <c:idx val="3"/>
              <c:layout>
                <c:manualLayout>
                  <c:x val="8.36012889958332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7BD-9D51-7B7374AF2AA1}"/>
                </c:ext>
              </c:extLst>
            </c:dLbl>
            <c:dLbl>
              <c:idx val="4"/>
              <c:layout>
                <c:manualLayout>
                  <c:x val="1.1146838532777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B-4957-8B63-E3CB59512482}"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7BD-9D51-7B7374AF2AA1}"/>
                </c:ext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s'!$T$10:$X$10</c:f>
              <c:numCache>
                <c:formatCode>#,##0</c:formatCode>
                <c:ptCount val="5"/>
                <c:pt idx="0">
                  <c:v>7030550</c:v>
                </c:pt>
                <c:pt idx="1">
                  <c:v>7340300</c:v>
                </c:pt>
                <c:pt idx="2">
                  <c:v>6307200</c:v>
                </c:pt>
                <c:pt idx="3">
                  <c:v>7283700</c:v>
                </c:pt>
                <c:pt idx="4">
                  <c:v>8580950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FC-47BD-9D51-7B7374AF2AA1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601288995831975E-3"/>
                  <c:y val="-8.496732354101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7BD-9D51-7B7374AF2AA1}"/>
                </c:ext>
              </c:extLst>
            </c:dLbl>
            <c:dLbl>
              <c:idx val="1"/>
              <c:layout>
                <c:manualLayout>
                  <c:x val="5.573419266388789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FC-47BD-9D51-7B7374AF2AA1}"/>
                </c:ext>
              </c:extLst>
            </c:dLbl>
            <c:dLbl>
              <c:idx val="2"/>
              <c:layout>
                <c:manualLayout>
                  <c:x val="6.9667740829860185E-3"/>
                  <c:y val="-6.3725492655762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FC-47BD-9D51-7B7374AF2AA1}"/>
                </c:ext>
              </c:extLst>
            </c:dLbl>
            <c:dLbl>
              <c:idx val="3"/>
              <c:layout>
                <c:manualLayout>
                  <c:x val="2.7867096331944076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FC-47BD-9D51-7B7374AF2AA1}"/>
                </c:ext>
              </c:extLst>
            </c:dLbl>
            <c:dLbl>
              <c:idx val="4"/>
              <c:layout>
                <c:manualLayout>
                  <c:x val="5.573419266388815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B-4957-8B63-E3CB59512482}"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FC-47BD-9D51-7B7374AF2AA1}"/>
                </c:ext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9FC-47BD-9D51-7B7374AF2AA1}"/>
                </c:ext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s'!$T$11:$X$11</c:f>
              <c:numCache>
                <c:formatCode>#,##0</c:formatCode>
                <c:ptCount val="5"/>
                <c:pt idx="0">
                  <c:v>563161</c:v>
                </c:pt>
                <c:pt idx="1">
                  <c:v>585252</c:v>
                </c:pt>
                <c:pt idx="2">
                  <c:v>581497</c:v>
                </c:pt>
                <c:pt idx="3">
                  <c:v>597999</c:v>
                </c:pt>
                <c:pt idx="4">
                  <c:v>755536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9FC-47BD-9D51-7B7374AF2AA1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601288995832218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FC-47BD-9D51-7B7374AF2AA1}"/>
                </c:ext>
              </c:extLst>
            </c:dLbl>
            <c:dLbl>
              <c:idx val="1"/>
              <c:layout>
                <c:manualLayout>
                  <c:x val="8.3601288995832218E-3"/>
                  <c:y val="-5.3104577213136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25342995682136E-2"/>
                      <c:h val="2.4757437526019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39FC-47BD-9D51-7B7374AF2AA1}"/>
                </c:ext>
              </c:extLst>
            </c:dLbl>
            <c:dLbl>
              <c:idx val="2"/>
              <c:layout>
                <c:manualLayout>
                  <c:x val="9.7534837161804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9FC-47BD-9D51-7B7374AF2AA1}"/>
                </c:ext>
              </c:extLst>
            </c:dLbl>
            <c:dLbl>
              <c:idx val="3"/>
              <c:layout>
                <c:manualLayout>
                  <c:x val="1.5326902982569241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FC-47BD-9D51-7B7374AF2AA1}"/>
                </c:ext>
              </c:extLst>
            </c:dLbl>
            <c:dLbl>
              <c:idx val="4"/>
              <c:layout>
                <c:manualLayout>
                  <c:x val="1.3933548165972037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B-4957-8B63-E3CB59512482}"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FC-47BD-9D51-7B7374AF2AA1}"/>
                </c:ext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FC-47BD-9D51-7B7374AF2AA1}"/>
                </c:ext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s'!$T$12:$X$12</c:f>
              <c:numCache>
                <c:formatCode>#,##0</c:formatCode>
                <c:ptCount val="5"/>
                <c:pt idx="0">
                  <c:v>41450</c:v>
                </c:pt>
                <c:pt idx="1">
                  <c:v>36450</c:v>
                </c:pt>
                <c:pt idx="2">
                  <c:v>65658</c:v>
                </c:pt>
                <c:pt idx="3">
                  <c:v>74079</c:v>
                </c:pt>
                <c:pt idx="4">
                  <c:v>52476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9FC-47BD-9D51-7B7374AF2AA1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080386698749617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9FC-47BD-9D51-7B7374AF2AA1}"/>
                </c:ext>
              </c:extLst>
            </c:dLbl>
            <c:dLbl>
              <c:idx val="1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9FC-47BD-9D51-7B7374AF2AA1}"/>
                </c:ext>
              </c:extLst>
            </c:dLbl>
            <c:dLbl>
              <c:idx val="2"/>
              <c:layout>
                <c:manualLayout>
                  <c:x val="4.7374063764304926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9FC-47BD-9D51-7B7374AF2AA1}"/>
                </c:ext>
              </c:extLst>
            </c:dLbl>
            <c:dLbl>
              <c:idx val="3"/>
              <c:layout>
                <c:manualLayout>
                  <c:x val="8.3601288995832218E-3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9FC-47BD-9D51-7B7374AF2AA1}"/>
                </c:ext>
              </c:extLst>
            </c:dLbl>
            <c:dLbl>
              <c:idx val="4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B-4957-8B63-E3CB59512482}"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s'!$T$13:$X$13</c:f>
              <c:numCache>
                <c:formatCode>#,##0</c:formatCode>
                <c:ptCount val="5"/>
                <c:pt idx="0">
                  <c:v>1809816</c:v>
                </c:pt>
                <c:pt idx="1">
                  <c:v>2233393</c:v>
                </c:pt>
                <c:pt idx="2">
                  <c:v>1615456</c:v>
                </c:pt>
                <c:pt idx="3">
                  <c:v>1342985</c:v>
                </c:pt>
                <c:pt idx="4">
                  <c:v>2454033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9FC-47BD-9D51-7B7374AF2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449009264"/>
        <c:axId val="449010048"/>
        <c:axId val="0"/>
      </c:bar3DChart>
      <c:catAx>
        <c:axId val="44900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0048"/>
        <c:scaling>
          <c:orientation val="minMax"/>
          <c:max val="1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2019 až 2022,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2023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540193349374833E-2"/>
                  <c:y val="-3.89429067511840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0-4421-ADBC-F7020094C01E}"/>
                </c:ext>
              </c:extLst>
            </c:dLbl>
            <c:dLbl>
              <c:idx val="1"/>
              <c:layout>
                <c:manualLayout>
                  <c:x val="8.3601288995832218E-3"/>
                  <c:y val="-4.2483661770509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0-4421-ADBC-F7020094C01E}"/>
                </c:ext>
              </c:extLst>
            </c:dLbl>
            <c:dLbl>
              <c:idx val="2"/>
              <c:layout>
                <c:manualLayout>
                  <c:x val="1.254019334937463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0-4421-ADBC-F7020094C01E}"/>
                </c:ext>
              </c:extLst>
            </c:dLbl>
            <c:dLbl>
              <c:idx val="3"/>
              <c:layout>
                <c:manualLayout>
                  <c:x val="2.6473741515346871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0-4421-ADBC-F7020094C01E}"/>
                </c:ext>
              </c:extLst>
            </c:dLbl>
            <c:dLbl>
              <c:idx val="4"/>
              <c:layout>
                <c:manualLayout>
                  <c:x val="1.3933548165971935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B2-4E56-A06C-9D7A4684994F}"/>
                </c:ext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0-4421-ADBC-F7020094C01E}"/>
                </c:ext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00-4421-ADBC-F7020094C01E}"/>
                </c:ext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s'!$T$2:$X$2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s'!$T$3:$X$3</c:f>
              <c:numCache>
                <c:formatCode>#,##0</c:formatCode>
                <c:ptCount val="5"/>
                <c:pt idx="0">
                  <c:v>6996283</c:v>
                </c:pt>
                <c:pt idx="1">
                  <c:v>7490726</c:v>
                </c:pt>
                <c:pt idx="2">
                  <c:v>7002032</c:v>
                </c:pt>
                <c:pt idx="3">
                  <c:v>7846903</c:v>
                </c:pt>
                <c:pt idx="4">
                  <c:v>9973858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00-4421-ADBC-F7020094C01E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540193349374782E-2"/>
                  <c:y val="-1.062091544262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0-4421-ADBC-F7020094C01E}"/>
                </c:ext>
              </c:extLst>
            </c:dLbl>
            <c:dLbl>
              <c:idx val="1"/>
              <c:layout>
                <c:manualLayout>
                  <c:x val="1.2540193349374833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0-4421-ADBC-F7020094C01E}"/>
                </c:ext>
              </c:extLst>
            </c:dLbl>
            <c:dLbl>
              <c:idx val="2"/>
              <c:layout>
                <c:manualLayout>
                  <c:x val="2.7867096331944022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0-4421-ADBC-F7020094C01E}"/>
                </c:ext>
              </c:extLst>
            </c:dLbl>
            <c:dLbl>
              <c:idx val="3"/>
              <c:layout>
                <c:manualLayout>
                  <c:x val="2.229367706555526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00-4421-ADBC-F7020094C01E}"/>
                </c:ext>
              </c:extLst>
            </c:dLbl>
            <c:dLbl>
              <c:idx val="4"/>
              <c:layout>
                <c:manualLayout>
                  <c:x val="1.8113612615763598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2-4E56-A06C-9D7A4684994F}"/>
                </c:ext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00-4421-ADBC-F7020094C01E}"/>
                </c:ext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00-4421-ADBC-F7020094C01E}"/>
                </c:ext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s'!$T$2:$X$2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s'!$T$4:$X$4</c:f>
              <c:numCache>
                <c:formatCode>#,##0</c:formatCode>
                <c:ptCount val="5"/>
                <c:pt idx="0">
                  <c:v>3288287</c:v>
                </c:pt>
                <c:pt idx="1">
                  <c:v>3297170</c:v>
                </c:pt>
                <c:pt idx="2">
                  <c:v>2861052</c:v>
                </c:pt>
                <c:pt idx="3">
                  <c:v>4146254</c:v>
                </c:pt>
                <c:pt idx="4">
                  <c:v>4918380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00-4421-ADBC-F7020094C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9011224"/>
        <c:axId val="503495384"/>
        <c:axId val="0"/>
      </c:bar3DChart>
      <c:catAx>
        <c:axId val="449011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349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5384"/>
        <c:scaling>
          <c:orientation val="minMax"/>
          <c:max val="1200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1224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s'!$B$10:$K$10</c:f>
            </c:numRef>
          </c:val>
          <c:extLst>
            <c:ext xmlns:c16="http://schemas.microsoft.com/office/drawing/2014/chart" uri="{C3380CC4-5D6E-409C-BE32-E72D297353CC}">
              <c16:uniqueId val="{00000000-9BFB-4925-BCC8-69706B3C93AE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s'!$B$11:$K$11</c:f>
            </c:numRef>
          </c:val>
          <c:extLst>
            <c:ext xmlns:c16="http://schemas.microsoft.com/office/drawing/2014/chart" uri="{C3380CC4-5D6E-409C-BE32-E72D297353CC}">
              <c16:uniqueId val="{00000001-9BFB-4925-BCC8-69706B3C93AE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s'!$B$12:$K$12</c:f>
            </c:numRef>
          </c:val>
          <c:extLst>
            <c:ext xmlns:c16="http://schemas.microsoft.com/office/drawing/2014/chart" uri="{C3380CC4-5D6E-409C-BE32-E72D297353CC}">
              <c16:uniqueId val="{00000002-9BFB-4925-BCC8-69706B3C93AE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s'!$B$13:$K$13</c:f>
            </c:numRef>
          </c:val>
          <c:extLst>
            <c:ext xmlns:c16="http://schemas.microsoft.com/office/drawing/2014/chart" uri="{C3380CC4-5D6E-409C-BE32-E72D297353CC}">
              <c16:uniqueId val="{00000003-9BFB-4925-BCC8-69706B3C93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3496168"/>
        <c:axId val="503494600"/>
      </c:barChart>
      <c:catAx>
        <c:axId val="503496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s'!$B$2:$K$2</c:f>
            </c:multiLvlStrRef>
          </c:cat>
          <c:val>
            <c:numRef>
              <c:f>'Zdrojová data II. a III. s'!$B$3:$K$3</c:f>
            </c:numRef>
          </c:val>
          <c:extLst>
            <c:ext xmlns:c16="http://schemas.microsoft.com/office/drawing/2014/chart" uri="{C3380CC4-5D6E-409C-BE32-E72D297353CC}">
              <c16:uniqueId val="{00000000-A48B-40E8-9C80-396C87BAC7AC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s'!$B$2:$K$2</c:f>
            </c:multiLvlStrRef>
          </c:cat>
          <c:val>
            <c:numRef>
              <c:f>'Zdrojová data II. a III. s'!$B$4:$K$4</c:f>
            </c:numRef>
          </c:val>
          <c:extLst>
            <c:ext xmlns:c16="http://schemas.microsoft.com/office/drawing/2014/chart" uri="{C3380CC4-5D6E-409C-BE32-E72D297353CC}">
              <c16:uniqueId val="{00000001-A48B-40E8-9C80-396C87BAC7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3496952"/>
        <c:axId val="503497344"/>
        <c:axId val="0"/>
      </c:bar3DChart>
      <c:catAx>
        <c:axId val="503496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2 - Struktura návrhu rozpočtu Moravskoslezského kraje na rok 2025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explosion val="13"/>
          <c:dPt>
            <c:idx val="7"/>
            <c:bubble3D val="0"/>
            <c:spPr>
              <a:pattFill prst="dkUpDiag">
                <a:fgClr>
                  <a:srgbClr val="E2AA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1AC0-4B1D-8DE1-DC4C9AF41C6F}"/>
              </c:ext>
            </c:extLst>
          </c:dPt>
          <c:dLbls>
            <c:dLbl>
              <c:idx val="0"/>
              <c:layout>
                <c:manualLayout>
                  <c:x val="1.608293511179533E-2"/>
                  <c:y val="-2.038245665621133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5-47A3-A769-BDB7910E963F}"/>
                </c:ext>
              </c:extLst>
            </c:dLbl>
            <c:dLbl>
              <c:idx val="1"/>
              <c:layout>
                <c:manualLayout>
                  <c:x val="-2.4176351762626756E-2"/>
                  <c:y val="-3.578278404802058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1A-42EA-A743-A3FC159C72BB}"/>
                </c:ext>
              </c:extLst>
            </c:dLbl>
            <c:dLbl>
              <c:idx val="2"/>
              <c:layout>
                <c:manualLayout>
                  <c:x val="5.2268908263713131E-3"/>
                  <c:y val="-0.1418012637718567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C0-4B1D-8DE1-DC4C9AF41C6F}"/>
                </c:ext>
              </c:extLst>
            </c:dLbl>
            <c:dLbl>
              <c:idx val="3"/>
              <c:layout>
                <c:manualLayout>
                  <c:x val="-1.6439557145759936E-2"/>
                  <c:y val="-8.183273178809885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1148084872205"/>
                      <c:h val="9.8689546292890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255-47A3-A769-BDB7910E963F}"/>
                </c:ext>
              </c:extLst>
            </c:dLbl>
            <c:dLbl>
              <c:idx val="4"/>
              <c:layout>
                <c:manualLayout>
                  <c:x val="8.2586443952247651E-4"/>
                  <c:y val="-8.287926829084715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C0-4B1D-8DE1-DC4C9AF41C6F}"/>
                </c:ext>
              </c:extLst>
            </c:dLbl>
            <c:dLbl>
              <c:idx val="5"/>
              <c:layout>
                <c:manualLayout>
                  <c:x val="-2.1994215492964545E-2"/>
                  <c:y val="1.589039482876826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19240013815057"/>
                      <c:h val="0.124466591701402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255-47A3-A769-BDB7910E963F}"/>
                </c:ext>
              </c:extLst>
            </c:dLbl>
            <c:dLbl>
              <c:idx val="6"/>
              <c:layout>
                <c:manualLayout>
                  <c:x val="2.8139184516603449E-3"/>
                  <c:y val="8.83039635751105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0-4B1D-8DE1-DC4C9AF41C6F}"/>
                </c:ext>
              </c:extLst>
            </c:dLbl>
            <c:dLbl>
              <c:idx val="7"/>
              <c:layout>
                <c:manualLayout>
                  <c:x val="-1.3902938245197973E-2"/>
                  <c:y val="2.110083196055910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C0-4B1D-8DE1-DC4C9AF41C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IV.'!$A$2:$A$9</c:f>
              <c:strCache>
                <c:ptCount val="8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  <c:pt idx="7">
                  <c:v>Ostatní přijaté dotace - státní dotace</c:v>
                </c:pt>
              </c:strCache>
            </c:strRef>
          </c:cat>
          <c:val>
            <c:numRef>
              <c:f>'Zdrojová data IV.'!$AL$2:$AL$9</c:f>
              <c:numCache>
                <c:formatCode>#,##0</c:formatCode>
                <c:ptCount val="8"/>
                <c:pt idx="0">
                  <c:v>833043</c:v>
                </c:pt>
                <c:pt idx="1">
                  <c:v>10772400</c:v>
                </c:pt>
                <c:pt idx="2">
                  <c:v>5603</c:v>
                </c:pt>
                <c:pt idx="3">
                  <c:v>1372594</c:v>
                </c:pt>
                <c:pt idx="4">
                  <c:v>438424</c:v>
                </c:pt>
                <c:pt idx="5">
                  <c:v>230958</c:v>
                </c:pt>
                <c:pt idx="6">
                  <c:v>235220</c:v>
                </c:pt>
                <c:pt idx="7">
                  <c:v>25692457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1A-42EA-A743-A3FC159C72BB}"/>
            </c:ext>
          </c:extLst>
        </c:ser>
        <c:ser>
          <c:idx val="1"/>
          <c:order val="1"/>
          <c:explosion val="37"/>
          <c:dLbls>
            <c:delete val="1"/>
          </c:dLbls>
          <c:cat>
            <c:strRef>
              <c:f>'Zdrojová data IV.'!$A$2:$A$9</c:f>
              <c:strCache>
                <c:ptCount val="8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  <c:pt idx="7">
                  <c:v>Ostatní přijaté dotace - státní dotace</c:v>
                </c:pt>
              </c:strCache>
            </c:strRef>
          </c:cat>
          <c:val>
            <c:numRef>
              <c:f>'Zdrojová data IV.'!$AM$2:$AM$9</c:f>
              <c:numCache>
                <c:formatCode>#,##0.00</c:formatCode>
                <c:ptCount val="8"/>
                <c:pt idx="0">
                  <c:v>2.1046697533057714</c:v>
                </c:pt>
                <c:pt idx="1">
                  <c:v>27.216295497964804</c:v>
                </c:pt>
                <c:pt idx="2">
                  <c:v>1.4155889465216367E-2</c:v>
                </c:pt>
                <c:pt idx="3">
                  <c:v>3.4678366847437436</c:v>
                </c:pt>
                <c:pt idx="4">
                  <c:v>1.1076711909509227</c:v>
                </c:pt>
                <c:pt idx="5">
                  <c:v>0.58351167572861706</c:v>
                </c:pt>
                <c:pt idx="6">
                  <c:v>0.59427955024240475</c:v>
                </c:pt>
                <c:pt idx="7">
                  <c:v>64.911579757598531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A-42EA-A743-A3FC159C72BB}"/>
            </c:ext>
          </c:extLst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3 - Struktura návrhu rozpočtu Moravskoslezského kraje na rok 2025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2943794480383974"/>
          <c:h val="0.63275901778443033"/>
        </c:manualLayout>
      </c:layout>
      <c:pie3DChart>
        <c:varyColors val="1"/>
        <c:ser>
          <c:idx val="0"/>
          <c:order val="0"/>
          <c:explosion val="12"/>
          <c:dPt>
            <c:idx val="3"/>
            <c:bubble3D val="0"/>
            <c:spPr>
              <a:pattFill prst="dkUpDiag">
                <a:fgClr>
                  <a:srgbClr val="E2AA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BBEE-41FA-BE2C-ED817C8FEE2B}"/>
              </c:ext>
            </c:extLst>
          </c:dPt>
          <c:dLbls>
            <c:dLbl>
              <c:idx val="0"/>
              <c:layout>
                <c:manualLayout>
                  <c:x val="-2.3506883172794042E-2"/>
                  <c:y val="-5.3818102020666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70-485B-8630-2CE9BE8B13B7}"/>
                </c:ext>
              </c:extLst>
            </c:dLbl>
            <c:dLbl>
              <c:idx val="2"/>
              <c:layout>
                <c:manualLayout>
                  <c:x val="8.9243388586251735E-2"/>
                  <c:y val="-1.2669497684222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70-485B-8630-2CE9BE8B13B7}"/>
                </c:ext>
              </c:extLst>
            </c:dLbl>
            <c:dLbl>
              <c:idx val="3"/>
              <c:layout>
                <c:manualLayout>
                  <c:x val="0.17994102269171575"/>
                  <c:y val="-8.9194615145693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EE-41FA-BE2C-ED817C8FEE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VI.'!$A$3:$A$10</c:f>
              <c:strCache>
                <c:ptCount val="8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</c:v>
                </c:pt>
                <c:pt idx="3">
                  <c:v>Samosprávné činnosti - státní dotace</c:v>
                </c:pt>
                <c:pt idx="4">
                  <c:v>Příspěvek na provoz příspěvkovým organizacím</c:v>
                </c:pt>
                <c:pt idx="5">
                  <c:v>Návratné finanční výpomoci příspěvkovým organizacím</c:v>
                </c:pt>
                <c:pt idx="6">
                  <c:v>Reprodukce majetku kraje vyjma akcí EU</c:v>
                </c:pt>
                <c:pt idx="7">
                  <c:v>Akce spolufinancované z evropských finančních zdrojů</c:v>
                </c:pt>
              </c:strCache>
            </c:strRef>
          </c:cat>
          <c:val>
            <c:numRef>
              <c:f>'Zdrojová data V.a VI.'!$AL$3:$AL$10</c:f>
              <c:numCache>
                <c:formatCode>#,##0</c:formatCode>
                <c:ptCount val="8"/>
                <c:pt idx="0">
                  <c:v>829209</c:v>
                </c:pt>
                <c:pt idx="1">
                  <c:v>502486</c:v>
                </c:pt>
                <c:pt idx="2">
                  <c:v>5146132</c:v>
                </c:pt>
                <c:pt idx="3">
                  <c:v>25691957</c:v>
                </c:pt>
                <c:pt idx="4">
                  <c:v>3449933</c:v>
                </c:pt>
                <c:pt idx="5">
                  <c:v>262082</c:v>
                </c:pt>
                <c:pt idx="6">
                  <c:v>2793299</c:v>
                </c:pt>
                <c:pt idx="7">
                  <c:v>4046977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0-4929-BDBF-E914DE64D395}"/>
            </c:ext>
          </c:extLst>
        </c:ser>
        <c:ser>
          <c:idx val="1"/>
          <c:order val="1"/>
          <c:explosion val="12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VI.'!$A$3:$A$10</c:f>
              <c:strCache>
                <c:ptCount val="8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</c:v>
                </c:pt>
                <c:pt idx="3">
                  <c:v>Samosprávné činnosti - státní dotace</c:v>
                </c:pt>
                <c:pt idx="4">
                  <c:v>Příspěvek na provoz příspěvkovým organizacím</c:v>
                </c:pt>
                <c:pt idx="5">
                  <c:v>Návratné finanční výpomoci příspěvkovým organizacím</c:v>
                </c:pt>
                <c:pt idx="6">
                  <c:v>Reprodukce majetku kraje vyjma akcí EU</c:v>
                </c:pt>
                <c:pt idx="7">
                  <c:v>Akce spolufinancované z evropských finančních zdrojů</c:v>
                </c:pt>
              </c:strCache>
            </c:strRef>
          </c:cat>
          <c:val>
            <c:numRef>
              <c:f>'Zdrojová data V.a VI.'!$AM$3:$AM$10</c:f>
              <c:numCache>
                <c:formatCode>#,##0.00</c:formatCode>
                <c:ptCount val="8"/>
                <c:pt idx="0">
                  <c:v>1.9409380279398882</c:v>
                </c:pt>
                <c:pt idx="1">
                  <c:v>1.1761741441631757</c:v>
                </c:pt>
                <c:pt idx="2">
                  <c:v>12.045604058323478</c:v>
                </c:pt>
                <c:pt idx="3">
                  <c:v>60.137427781773248</c:v>
                </c:pt>
                <c:pt idx="4">
                  <c:v>8.0752936274747888</c:v>
                </c:pt>
                <c:pt idx="5">
                  <c:v>0.61345803077214767</c:v>
                </c:pt>
                <c:pt idx="6">
                  <c:v>6.5383036755588302</c:v>
                </c:pt>
                <c:pt idx="7">
                  <c:v>9.4728006539944509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F0-4929-BDBF-E914DE64D3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2025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2025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explosion val="12"/>
          <c:dLbls>
            <c:dLbl>
              <c:idx val="0"/>
              <c:layout>
                <c:manualLayout>
                  <c:x val="1.4331806274967931E-2"/>
                  <c:y val="-7.29131699184230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ED-4596-A388-CC11271D2A0C}"/>
                </c:ext>
              </c:extLst>
            </c:dLbl>
            <c:dLbl>
              <c:idx val="3"/>
              <c:layout>
                <c:manualLayout>
                  <c:x val="5.4493393742761687E-2"/>
                  <c:y val="4.055734550038644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4-42F6-A875-3D5D3D36E4EE}"/>
                </c:ext>
              </c:extLst>
            </c:dLbl>
            <c:dLbl>
              <c:idx val="4"/>
              <c:layout>
                <c:manualLayout>
                  <c:x val="2.8355044800197314E-2"/>
                  <c:y val="3.89386176318235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4-42F6-A875-3D5D3D36E4EE}"/>
                </c:ext>
              </c:extLst>
            </c:dLbl>
            <c:dLbl>
              <c:idx val="5"/>
              <c:layout>
                <c:manualLayout>
                  <c:x val="-1.4462309861924023E-2"/>
                  <c:y val="-3.685875804868783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ED-4596-A388-CC11271D2A0C}"/>
                </c:ext>
              </c:extLst>
            </c:dLbl>
            <c:dLbl>
              <c:idx val="6"/>
              <c:layout>
                <c:manualLayout>
                  <c:x val="4.2316185780057074E-2"/>
                  <c:y val="-0.1106893408994393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ED-4596-A388-CC11271D2A0C}"/>
                </c:ext>
              </c:extLst>
            </c:dLbl>
            <c:dLbl>
              <c:idx val="7"/>
              <c:layout>
                <c:manualLayout>
                  <c:x val="4.2727280307442092E-2"/>
                  <c:y val="-4.174688802996068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4-42F6-A875-3D5D3D36E4EE}"/>
                </c:ext>
              </c:extLst>
            </c:dLbl>
            <c:dLbl>
              <c:idx val="8"/>
              <c:layout>
                <c:manualLayout>
                  <c:x val="1.6599683236690827E-2"/>
                  <c:y val="-4.843873379285936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ED-4596-A388-CC11271D2A0C}"/>
                </c:ext>
              </c:extLst>
            </c:dLbl>
            <c:dLbl>
              <c:idx val="9"/>
              <c:layout>
                <c:manualLayout>
                  <c:x val="2.3162055283930602E-3"/>
                  <c:y val="-1.12268930276450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4-42F6-A875-3D5D3D36E4EE}"/>
                </c:ext>
              </c:extLst>
            </c:dLbl>
            <c:dLbl>
              <c:idx val="10"/>
              <c:layout>
                <c:manualLayout>
                  <c:x val="1.6183651625309995E-2"/>
                  <c:y val="-3.8253694029657275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04-42F6-A875-3D5D3D36E4E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VI.'!$A$21:$A$31</c:f>
              <c:strCache>
                <c:ptCount val="11"/>
                <c:pt idx="0">
                  <c:v>Doprava</c:v>
                </c:pt>
                <c:pt idx="1">
                  <c:v>Informatika a kybernetická bezpečnost</c:v>
                </c:pt>
                <c:pt idx="2">
                  <c:v>Krizové řízení</c:v>
                </c:pt>
                <c:pt idx="3">
                  <c:v>Kultura</c:v>
                </c:pt>
                <c:pt idx="4">
                  <c:v>Regionální rozvoj </c:v>
                </c:pt>
                <c:pt idx="5">
                  <c:v>Cestovní ruch</c:v>
                </c:pt>
                <c:pt idx="6">
                  <c:v>Sociální věci</c:v>
                </c:pt>
                <c:pt idx="7">
                  <c:v>Školství</c:v>
                </c:pt>
                <c:pt idx="8">
                  <c:v>Územní plánování a stavební řád</c:v>
                </c:pt>
                <c:pt idx="9">
                  <c:v>Zdravotnictví</c:v>
                </c:pt>
                <c:pt idx="10">
                  <c:v>Životní prostředí</c:v>
                </c:pt>
              </c:strCache>
            </c:strRef>
          </c:cat>
          <c:val>
            <c:numRef>
              <c:f>'Zdrojová data V.a VI.'!$AL$21:$AL$31</c:f>
              <c:numCache>
                <c:formatCode>#,##0</c:formatCode>
                <c:ptCount val="11"/>
                <c:pt idx="0">
                  <c:v>465350</c:v>
                </c:pt>
                <c:pt idx="1">
                  <c:v>57525</c:v>
                </c:pt>
                <c:pt idx="2">
                  <c:v>150000</c:v>
                </c:pt>
                <c:pt idx="3">
                  <c:v>1129126</c:v>
                </c:pt>
                <c:pt idx="4">
                  <c:v>160549</c:v>
                </c:pt>
                <c:pt idx="5">
                  <c:v>3300</c:v>
                </c:pt>
                <c:pt idx="6">
                  <c:v>706161</c:v>
                </c:pt>
                <c:pt idx="7">
                  <c:v>1026090</c:v>
                </c:pt>
                <c:pt idx="8">
                  <c:v>65000</c:v>
                </c:pt>
                <c:pt idx="9">
                  <c:v>115752</c:v>
                </c:pt>
                <c:pt idx="10">
                  <c:v>168124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ED-4596-A388-CC11271D2A0C}"/>
            </c:ext>
          </c:extLst>
        </c:ser>
        <c:ser>
          <c:idx val="1"/>
          <c:order val="1"/>
          <c:explosion val="23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VI.'!$A$21:$A$31</c:f>
              <c:strCache>
                <c:ptCount val="11"/>
                <c:pt idx="0">
                  <c:v>Doprava</c:v>
                </c:pt>
                <c:pt idx="1">
                  <c:v>Informatika a kybernetická bezpečnost</c:v>
                </c:pt>
                <c:pt idx="2">
                  <c:v>Krizové řízení</c:v>
                </c:pt>
                <c:pt idx="3">
                  <c:v>Kultura</c:v>
                </c:pt>
                <c:pt idx="4">
                  <c:v>Regionální rozvoj </c:v>
                </c:pt>
                <c:pt idx="5">
                  <c:v>Cestovní ruch</c:v>
                </c:pt>
                <c:pt idx="6">
                  <c:v>Sociální věci</c:v>
                </c:pt>
                <c:pt idx="7">
                  <c:v>Školství</c:v>
                </c:pt>
                <c:pt idx="8">
                  <c:v>Územní plánování a stavební řád</c:v>
                </c:pt>
                <c:pt idx="9">
                  <c:v>Zdravotnictví</c:v>
                </c:pt>
                <c:pt idx="10">
                  <c:v>Životní prostředí</c:v>
                </c:pt>
              </c:strCache>
            </c:strRef>
          </c:cat>
          <c:val>
            <c:numRef>
              <c:f>'Zdrojová data V.a VI.'!$AM$21:$AM$31</c:f>
              <c:numCache>
                <c:formatCode>#,##0.00</c:formatCode>
                <c:ptCount val="11"/>
                <c:pt idx="0">
                  <c:v>11.498706318321059</c:v>
                </c:pt>
                <c:pt idx="1">
                  <c:v>1.4214313548112578</c:v>
                </c:pt>
                <c:pt idx="2">
                  <c:v>3.7064702863396555</c:v>
                </c:pt>
                <c:pt idx="3">
                  <c:v>27.900479790223663</c:v>
                </c:pt>
                <c:pt idx="4">
                  <c:v>3.967133986676969</c:v>
                </c:pt>
                <c:pt idx="5">
                  <c:v>8.1542346299472421E-2</c:v>
                </c:pt>
                <c:pt idx="6">
                  <c:v>17.44909842581265</c:v>
                </c:pt>
                <c:pt idx="7">
                  <c:v>25.354480640735051</c:v>
                </c:pt>
                <c:pt idx="8">
                  <c:v>1.6061371240805173</c:v>
                </c:pt>
                <c:pt idx="9">
                  <c:v>2.8602089905625854</c:v>
                </c:pt>
                <c:pt idx="10">
                  <c:v>4.1543107361371217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ED-4596-A388-CC11271D2A0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20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30" orientation="landscape" useFirstPageNumber="1" r:id="rId1"/>
  <headerFooter alignWithMargins="0">
    <oddHeader>&amp;L&amp;"Tahoma,Kurzíva"&amp;9Návrh rozpočtu na rok 2025
Příloha č. 9&amp;R&amp;"Tahoma,Kurzíva"&amp;9Graf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rgb="FFFF0000"/>
  </sheetPr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9" orientation="landscape" useFirstPageNumber="1" r:id="rId1"/>
  <headerFooter alignWithMargins="0">
    <oddHeader>&amp;L&amp;"Tahoma,Kurzíva"&amp;9Návrh rozpočtu na rok 2023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0000"/>
  </sheetPr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0" orientation="landscape" useFirstPageNumber="1" r:id="rId1"/>
  <headerFooter alignWithMargins="0">
    <oddHeader>&amp;L&amp;"Tahoma,Kurzíva"&amp;9Návrh rozpočtu na rok 2023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31" orientation="landscape" useFirstPageNumber="1" r:id="rId1"/>
  <headerFooter alignWithMargins="0">
    <oddHeader>&amp;L&amp;"Tahoma,Kurzíva"&amp;9Návrh rozpočtu na rok 2025
Příloha č. 9&amp;R&amp;"Tahoma,Kurzíva"&amp;9Graf č. 2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32" orientation="landscape" useFirstPageNumber="1" r:id="rId1"/>
  <headerFooter alignWithMargins="0">
    <oddHeader>&amp;L&amp;"Tahoma,Kurzíva"&amp;9Návrh rozpočtu na rok 2025
Příloha č. 9&amp;R&amp;"Tahoma,Kurzíva"&amp;9Graf č. 3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33" orientation="landscape" useFirstPageNumber="1" r:id="rId1"/>
  <headerFooter alignWithMargins="0">
    <oddHeader>&amp;L&amp;"Tahoma,Kurzíva"&amp;9Návrh rozpočtu na rok 2025
Příloha č. 9&amp;R&amp;"Tahoma,Kurzíva"&amp;9Graf č. 4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063" cy="6000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>
          <a:extLst xmlns:a="http://schemas.openxmlformats.org/drawingml/2006/main">
            <a:ext uri="{FF2B5EF4-FFF2-40B4-BE49-F238E27FC236}">
              <a16:creationId xmlns:a16="http://schemas.microsoft.com/office/drawing/2014/main" id="{2374578E-B50D-4C3A-83B2-F2CB0760CB2B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4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zoomScaleSheetLayoutView="100" workbookViewId="0">
      <selection activeCell="H5" sqref="H5"/>
    </sheetView>
  </sheetViews>
  <sheetFormatPr defaultColWidth="9.28515625" defaultRowHeight="15.75" x14ac:dyDescent="0.25"/>
  <cols>
    <col min="1" max="4" width="9.28515625" style="25"/>
    <col min="5" max="5" width="38.5703125" style="25" customWidth="1"/>
    <col min="6" max="16384" width="9.28515625" style="25"/>
  </cols>
  <sheetData>
    <row r="1" spans="1:10" s="24" customFormat="1" ht="15.75" customHeight="1" x14ac:dyDescent="0.2">
      <c r="A1" s="31" t="s">
        <v>737</v>
      </c>
    </row>
    <row r="2" spans="1:10" ht="18" customHeight="1" x14ac:dyDescent="0.25"/>
    <row r="3" spans="1:10" s="27" customFormat="1" ht="42" customHeight="1" x14ac:dyDescent="0.25">
      <c r="A3" s="390" t="s">
        <v>330</v>
      </c>
      <c r="B3" s="391"/>
      <c r="C3" s="391"/>
      <c r="D3" s="391"/>
      <c r="E3" s="391"/>
      <c r="F3" s="391"/>
      <c r="G3" s="26"/>
      <c r="H3" s="26"/>
      <c r="I3" s="26"/>
      <c r="J3" s="26"/>
    </row>
    <row r="4" spans="1:10" s="28" customFormat="1" ht="36" customHeight="1" x14ac:dyDescent="0.2"/>
    <row r="5" spans="1:10" s="28" customFormat="1" ht="15.75" customHeight="1" x14ac:dyDescent="0.2">
      <c r="A5" s="29" t="s">
        <v>28</v>
      </c>
      <c r="F5" s="30" t="s">
        <v>29</v>
      </c>
    </row>
    <row r="6" spans="1:10" s="28" customFormat="1" ht="15" x14ac:dyDescent="0.2"/>
    <row r="7" spans="1:10" s="28" customFormat="1" ht="16.5" customHeight="1" x14ac:dyDescent="0.2">
      <c r="A7" s="392" t="s">
        <v>331</v>
      </c>
      <c r="B7" s="392"/>
      <c r="C7" s="392"/>
      <c r="D7" s="392"/>
      <c r="E7" s="392"/>
      <c r="F7" s="28">
        <v>2</v>
      </c>
    </row>
    <row r="8" spans="1:10" s="28" customFormat="1" ht="15" x14ac:dyDescent="0.2">
      <c r="A8" s="203"/>
      <c r="B8" s="203"/>
      <c r="C8" s="203"/>
      <c r="D8" s="203"/>
      <c r="E8" s="203"/>
      <c r="F8" s="176"/>
    </row>
    <row r="9" spans="1:10" s="28" customFormat="1" ht="31.5" customHeight="1" x14ac:dyDescent="0.2">
      <c r="A9" s="392" t="s">
        <v>823</v>
      </c>
      <c r="B9" s="392"/>
      <c r="C9" s="392"/>
      <c r="D9" s="392"/>
      <c r="E9" s="392"/>
      <c r="F9" s="28">
        <v>4</v>
      </c>
    </row>
    <row r="10" spans="1:10" s="28" customFormat="1" ht="15" x14ac:dyDescent="0.2">
      <c r="A10" s="203"/>
      <c r="B10" s="203"/>
      <c r="C10" s="203"/>
      <c r="D10" s="203"/>
      <c r="E10" s="203"/>
      <c r="F10" s="176"/>
    </row>
    <row r="11" spans="1:10" s="28" customFormat="1" ht="31.5" customHeight="1" x14ac:dyDescent="0.2">
      <c r="A11" s="392" t="s">
        <v>735</v>
      </c>
      <c r="B11" s="392"/>
      <c r="C11" s="392"/>
      <c r="D11" s="392"/>
      <c r="E11" s="392"/>
      <c r="F11" s="28">
        <v>6</v>
      </c>
    </row>
    <row r="12" spans="1:10" s="28" customFormat="1" ht="15" x14ac:dyDescent="0.2">
      <c r="A12" s="203"/>
      <c r="B12" s="203"/>
      <c r="C12" s="203"/>
      <c r="D12" s="203"/>
      <c r="E12" s="203"/>
    </row>
    <row r="13" spans="1:10" s="28" customFormat="1" ht="31.5" customHeight="1" x14ac:dyDescent="0.2">
      <c r="A13" s="392" t="s">
        <v>736</v>
      </c>
      <c r="B13" s="392"/>
      <c r="C13" s="392"/>
      <c r="D13" s="392"/>
      <c r="E13" s="392"/>
      <c r="F13" s="28">
        <v>16</v>
      </c>
    </row>
    <row r="14" spans="1:10" s="28" customFormat="1" ht="15" x14ac:dyDescent="0.2">
      <c r="A14" s="203"/>
      <c r="B14" s="203"/>
      <c r="C14" s="203"/>
      <c r="D14" s="203"/>
      <c r="E14" s="203"/>
    </row>
    <row r="15" spans="1:10" s="28" customFormat="1" ht="31.5" customHeight="1" x14ac:dyDescent="0.2">
      <c r="A15" s="392" t="s">
        <v>332</v>
      </c>
      <c r="B15" s="392"/>
      <c r="C15" s="392"/>
      <c r="D15" s="392"/>
      <c r="E15" s="392"/>
      <c r="F15" s="28">
        <v>22</v>
      </c>
    </row>
    <row r="16" spans="1:10" s="28" customFormat="1" ht="15" x14ac:dyDescent="0.2">
      <c r="A16" s="203"/>
      <c r="B16" s="203"/>
      <c r="C16" s="203"/>
      <c r="D16" s="203"/>
      <c r="E16" s="203"/>
    </row>
    <row r="17" spans="1:7" s="28" customFormat="1" ht="16.5" customHeight="1" x14ac:dyDescent="0.2">
      <c r="A17" s="392" t="s">
        <v>333</v>
      </c>
      <c r="B17" s="392"/>
      <c r="C17" s="392"/>
      <c r="D17" s="392"/>
      <c r="E17" s="392"/>
      <c r="F17" s="28">
        <v>25</v>
      </c>
    </row>
    <row r="18" spans="1:7" s="28" customFormat="1" ht="24" customHeight="1" x14ac:dyDescent="0.2">
      <c r="A18" s="176"/>
      <c r="B18" s="176"/>
      <c r="C18" s="176"/>
      <c r="D18" s="176"/>
      <c r="E18" s="176"/>
    </row>
    <row r="19" spans="1:7" ht="31.5" customHeight="1" x14ac:dyDescent="0.25">
      <c r="A19" s="392" t="s">
        <v>334</v>
      </c>
      <c r="B19" s="392"/>
      <c r="C19" s="392"/>
      <c r="D19" s="392"/>
      <c r="E19" s="392"/>
      <c r="F19" s="28">
        <v>30</v>
      </c>
      <c r="G19" s="175"/>
    </row>
    <row r="20" spans="1:7" ht="15" customHeight="1" x14ac:dyDescent="0.25">
      <c r="A20" s="28"/>
      <c r="B20" s="28"/>
      <c r="C20" s="247"/>
      <c r="D20" s="28"/>
      <c r="E20" s="28"/>
      <c r="F20" s="175"/>
      <c r="G20" s="175"/>
    </row>
    <row r="21" spans="1:7" ht="46.5" customHeight="1" x14ac:dyDescent="0.25">
      <c r="A21" s="392" t="s">
        <v>335</v>
      </c>
      <c r="B21" s="392"/>
      <c r="C21" s="392"/>
      <c r="D21" s="392"/>
      <c r="E21" s="392"/>
      <c r="F21" s="28">
        <v>31</v>
      </c>
      <c r="G21" s="175"/>
    </row>
    <row r="22" spans="1:7" ht="15" customHeight="1" x14ac:dyDescent="0.25">
      <c r="A22" s="176"/>
      <c r="B22" s="176"/>
      <c r="C22" s="176"/>
      <c r="D22" s="176"/>
      <c r="E22" s="176"/>
      <c r="F22" s="175"/>
      <c r="G22" s="175"/>
    </row>
    <row r="23" spans="1:7" ht="31.5" customHeight="1" x14ac:dyDescent="0.25">
      <c r="A23" s="392" t="s">
        <v>336</v>
      </c>
      <c r="B23" s="392"/>
      <c r="C23" s="392"/>
      <c r="D23" s="392"/>
      <c r="E23" s="392"/>
      <c r="F23" s="28">
        <v>32</v>
      </c>
      <c r="G23" s="175"/>
    </row>
    <row r="24" spans="1:7" ht="15" customHeight="1" x14ac:dyDescent="0.25">
      <c r="A24" s="176"/>
      <c r="B24" s="176"/>
      <c r="C24" s="176"/>
      <c r="D24" s="176"/>
      <c r="E24" s="176"/>
      <c r="F24" s="175"/>
      <c r="G24" s="175"/>
    </row>
    <row r="25" spans="1:7" ht="46.5" customHeight="1" x14ac:dyDescent="0.25">
      <c r="A25" s="392" t="s">
        <v>337</v>
      </c>
      <c r="B25" s="392"/>
      <c r="C25" s="392"/>
      <c r="D25" s="392"/>
      <c r="E25" s="392"/>
      <c r="F25" s="28">
        <v>33</v>
      </c>
      <c r="G25" s="175"/>
    </row>
    <row r="26" spans="1:7" x14ac:dyDescent="0.25">
      <c r="A26" s="175"/>
      <c r="B26" s="175"/>
      <c r="C26" s="175"/>
      <c r="D26" s="175"/>
      <c r="E26" s="175"/>
      <c r="F26" s="175"/>
      <c r="G26" s="175"/>
    </row>
  </sheetData>
  <mergeCells count="11">
    <mergeCell ref="A3:F3"/>
    <mergeCell ref="A7:E7"/>
    <mergeCell ref="A11:E11"/>
    <mergeCell ref="A23:E23"/>
    <mergeCell ref="A25:E25"/>
    <mergeCell ref="A15:E15"/>
    <mergeCell ref="A17:E17"/>
    <mergeCell ref="A19:E19"/>
    <mergeCell ref="A21:E21"/>
    <mergeCell ref="A13:E13"/>
    <mergeCell ref="A9:E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5"/>
  </sheetPr>
  <dimension ref="A1:AM14"/>
  <sheetViews>
    <sheetView workbookViewId="0">
      <selection activeCell="AM31" sqref="AM31"/>
    </sheetView>
  </sheetViews>
  <sheetFormatPr defaultColWidth="10.28515625" defaultRowHeight="15.75" x14ac:dyDescent="0.25"/>
  <cols>
    <col min="1" max="1" width="39.5703125" style="64" customWidth="1"/>
    <col min="2" max="2" width="21.7109375" style="64" hidden="1" customWidth="1"/>
    <col min="3" max="3" width="10.28515625" style="64" hidden="1" customWidth="1"/>
    <col min="4" max="4" width="22.28515625" style="64" hidden="1" customWidth="1"/>
    <col min="5" max="5" width="10.28515625" style="64" hidden="1" customWidth="1"/>
    <col min="6" max="6" width="17.7109375" style="64" hidden="1" customWidth="1"/>
    <col min="7" max="7" width="10.28515625" style="64" hidden="1" customWidth="1"/>
    <col min="8" max="8" width="17.7109375" style="64" hidden="1" customWidth="1"/>
    <col min="9" max="9" width="10.28515625" style="64" hidden="1" customWidth="1"/>
    <col min="10" max="10" width="17.7109375" style="64" hidden="1" customWidth="1"/>
    <col min="11" max="11" width="10.28515625" style="64" hidden="1" customWidth="1"/>
    <col min="12" max="12" width="17.7109375" style="64" hidden="1" customWidth="1"/>
    <col min="13" max="13" width="10.28515625" style="64" hidden="1" customWidth="1"/>
    <col min="14" max="14" width="17.7109375" style="64" hidden="1" customWidth="1"/>
    <col min="15" max="15" width="10.28515625" style="64" hidden="1" customWidth="1"/>
    <col min="16" max="16" width="17.7109375" style="64" hidden="1" customWidth="1"/>
    <col min="17" max="17" width="0" style="64" hidden="1" customWidth="1"/>
    <col min="18" max="18" width="17.7109375" style="64" hidden="1" customWidth="1"/>
    <col min="19" max="19" width="10.28515625" style="64" hidden="1" customWidth="1"/>
    <col min="20" max="20" width="16.42578125" style="64" hidden="1" customWidth="1"/>
    <col min="21" max="21" width="10.28515625" style="64" hidden="1" customWidth="1"/>
    <col min="22" max="22" width="16.42578125" style="64" hidden="1" customWidth="1"/>
    <col min="23" max="23" width="10.28515625" style="64" hidden="1" customWidth="1"/>
    <col min="24" max="24" width="16.42578125" style="64" hidden="1" customWidth="1"/>
    <col min="25" max="25" width="10.28515625" style="64" hidden="1" customWidth="1"/>
    <col min="26" max="26" width="16.42578125" style="64" hidden="1" customWidth="1"/>
    <col min="27" max="27" width="10.28515625" style="64" hidden="1" customWidth="1"/>
    <col min="28" max="28" width="16.42578125" style="64" hidden="1" customWidth="1"/>
    <col min="29" max="29" width="10.28515625" style="64" hidden="1" customWidth="1"/>
    <col min="30" max="30" width="16.42578125" style="64" hidden="1" customWidth="1"/>
    <col min="31" max="31" width="10.28515625" style="64" hidden="1" customWidth="1"/>
    <col min="32" max="32" width="16.42578125" style="64" customWidth="1"/>
    <col min="33" max="33" width="10.28515625" style="64" customWidth="1"/>
    <col min="34" max="34" width="16.42578125" style="64" customWidth="1"/>
    <col min="35" max="35" width="10.28515625" style="64"/>
    <col min="36" max="36" width="16.42578125" style="64" customWidth="1"/>
    <col min="37" max="37" width="10.7109375" style="64" customWidth="1"/>
    <col min="38" max="38" width="16.42578125" style="64" customWidth="1"/>
    <col min="39" max="39" width="10.7109375" style="64" customWidth="1"/>
    <col min="40" max="16384" width="10.28515625" style="64"/>
  </cols>
  <sheetData>
    <row r="1" spans="1:39" ht="35.25" customHeight="1" x14ac:dyDescent="0.25">
      <c r="A1" s="102" t="s">
        <v>111</v>
      </c>
      <c r="B1" s="101" t="s">
        <v>110</v>
      </c>
      <c r="C1" s="101"/>
      <c r="D1" s="101" t="s">
        <v>109</v>
      </c>
      <c r="E1" s="101"/>
      <c r="F1" s="101" t="s">
        <v>108</v>
      </c>
      <c r="G1" s="101"/>
      <c r="H1" s="101" t="s">
        <v>107</v>
      </c>
      <c r="I1" s="101"/>
      <c r="J1" s="100" t="s">
        <v>106</v>
      </c>
      <c r="K1" s="100"/>
      <c r="L1" s="100" t="s">
        <v>105</v>
      </c>
      <c r="M1" s="100"/>
      <c r="N1" s="100" t="s">
        <v>104</v>
      </c>
      <c r="O1" s="100"/>
      <c r="P1" s="100" t="s">
        <v>103</v>
      </c>
      <c r="Q1" s="100"/>
      <c r="R1" s="100" t="s">
        <v>102</v>
      </c>
      <c r="S1" s="100"/>
      <c r="T1" s="100" t="s">
        <v>101</v>
      </c>
      <c r="U1" s="100"/>
      <c r="V1" s="100" t="s">
        <v>100</v>
      </c>
      <c r="W1" s="100"/>
      <c r="X1" s="100" t="s">
        <v>99</v>
      </c>
      <c r="Y1" s="100"/>
      <c r="Z1" s="100" t="s">
        <v>130</v>
      </c>
      <c r="AA1" s="100"/>
      <c r="AB1" s="100" t="s">
        <v>169</v>
      </c>
      <c r="AC1" s="100"/>
      <c r="AD1" s="100" t="s">
        <v>194</v>
      </c>
      <c r="AE1" s="100"/>
      <c r="AF1" s="100" t="s">
        <v>212</v>
      </c>
      <c r="AG1" s="100"/>
      <c r="AH1" s="100" t="s">
        <v>266</v>
      </c>
      <c r="AI1" s="100"/>
      <c r="AJ1" s="100" t="s">
        <v>321</v>
      </c>
      <c r="AK1" s="100"/>
      <c r="AL1" s="100" t="s">
        <v>485</v>
      </c>
      <c r="AM1" s="100"/>
    </row>
    <row r="2" spans="1:39" x14ac:dyDescent="0.25">
      <c r="A2" s="95" t="s">
        <v>59</v>
      </c>
      <c r="B2" s="94">
        <v>208296</v>
      </c>
      <c r="C2" s="93">
        <f>(B2/$B$11)*100</f>
        <v>4.1100690931075796</v>
      </c>
      <c r="D2" s="94">
        <v>97807</v>
      </c>
      <c r="E2" s="93">
        <f t="shared" ref="E2:E8" si="0">(D2/$D$11)*100</f>
        <v>1.5300091856553601</v>
      </c>
      <c r="F2" s="94">
        <v>183697</v>
      </c>
      <c r="G2" s="93">
        <f t="shared" ref="G2:G8" si="1">(F2/$D$11)*100</f>
        <v>2.8735989998398144</v>
      </c>
      <c r="H2" s="94">
        <v>169579</v>
      </c>
      <c r="I2" s="93">
        <f t="shared" ref="I2:I8" si="2">(H2/$H$11)*100</f>
        <v>2.8140941178813357</v>
      </c>
      <c r="J2" s="92">
        <v>291031</v>
      </c>
      <c r="K2" s="91">
        <f t="shared" ref="K2:K7" si="3">(J2/$J$11)*100</f>
        <v>4.1097563696556616</v>
      </c>
      <c r="L2" s="92">
        <v>169400</v>
      </c>
      <c r="M2" s="91">
        <f t="shared" ref="M2:M7" si="4">(L2/$L$11)*100</f>
        <v>2.4437042806226512</v>
      </c>
      <c r="N2" s="92">
        <v>184620</v>
      </c>
      <c r="O2" s="91">
        <f t="shared" ref="O2:O8" si="5">(N2/$N$11)*100</f>
        <v>2.9397185723432386</v>
      </c>
      <c r="P2" s="92">
        <v>191852</v>
      </c>
      <c r="Q2" s="91">
        <f t="shared" ref="Q2:Q8" si="6">P2/$P$11*100</f>
        <v>2.7619737548285448</v>
      </c>
      <c r="R2" s="92">
        <v>162937</v>
      </c>
      <c r="S2" s="91">
        <f t="shared" ref="S2:S8" si="7">R2/$R$11*100</f>
        <v>1.9032426155712034</v>
      </c>
      <c r="T2" s="92">
        <v>140391</v>
      </c>
      <c r="U2" s="91">
        <f t="shared" ref="U2:U8" si="8">T2/$T$11*100</f>
        <v>1.7432660170970227</v>
      </c>
      <c r="V2" s="92">
        <v>164820</v>
      </c>
      <c r="W2" s="91">
        <f t="shared" ref="W2:W8" si="9">V2/$V$11*100</f>
        <v>2.3662451299022922</v>
      </c>
      <c r="X2" s="92">
        <v>613120</v>
      </c>
      <c r="Y2" s="91">
        <f t="shared" ref="Y2:Y8" si="10">X2/$X$11*100</f>
        <v>7.4433719426688461</v>
      </c>
      <c r="Z2" s="92">
        <v>563161</v>
      </c>
      <c r="AA2" s="91">
        <f t="shared" ref="AA2:AA8" si="11">Z2/$Z$11*100</f>
        <v>5.9625449590824839</v>
      </c>
      <c r="AB2" s="92">
        <v>585252</v>
      </c>
      <c r="AC2" s="91">
        <f t="shared" ref="AC2:AC8" si="12">AB2/$AB$11*100</f>
        <v>5.7403563079213704</v>
      </c>
      <c r="AD2" s="92">
        <v>581497</v>
      </c>
      <c r="AE2" s="91">
        <f t="shared" ref="AE2:AE8" si="13">AD2/$AD$11*100</f>
        <v>6.7854121870365631</v>
      </c>
      <c r="AF2" s="92">
        <v>597999</v>
      </c>
      <c r="AG2" s="91">
        <f t="shared" ref="AG2:AG8" si="14">AF2/$AF$11*100</f>
        <v>6.4309521599808486</v>
      </c>
      <c r="AH2" s="92">
        <v>755536</v>
      </c>
      <c r="AI2" s="91">
        <f t="shared" ref="AI2:AI8" si="15">AH2/$AH$11*100</f>
        <v>6.3796024569798435</v>
      </c>
      <c r="AJ2" s="92">
        <v>628872</v>
      </c>
      <c r="AK2" s="91">
        <f t="shared" ref="AK2:AK9" si="16">AJ2/$AJ$11*100</f>
        <v>1.7352072787584647</v>
      </c>
      <c r="AL2" s="92">
        <v>833043</v>
      </c>
      <c r="AM2" s="91">
        <f>AL2/$AL$11*100</f>
        <v>2.1046697533057714</v>
      </c>
    </row>
    <row r="3" spans="1:39" x14ac:dyDescent="0.25">
      <c r="A3" s="95" t="s">
        <v>58</v>
      </c>
      <c r="B3" s="94">
        <v>4045313</v>
      </c>
      <c r="C3" s="93">
        <f>(B3/$B$11)*100</f>
        <v>79.82158050680907</v>
      </c>
      <c r="D3" s="94">
        <v>4328690</v>
      </c>
      <c r="E3" s="93">
        <f t="shared" si="0"/>
        <v>67.714329872652286</v>
      </c>
      <c r="F3" s="94">
        <v>4532498</v>
      </c>
      <c r="G3" s="93">
        <f t="shared" si="1"/>
        <v>70.902528182691924</v>
      </c>
      <c r="H3" s="94">
        <v>4121475</v>
      </c>
      <c r="I3" s="93">
        <f t="shared" si="2"/>
        <v>68.394191229426866</v>
      </c>
      <c r="J3" s="92">
        <v>4416300</v>
      </c>
      <c r="K3" s="91">
        <f t="shared" si="3"/>
        <v>62.364205377813008</v>
      </c>
      <c r="L3" s="92">
        <v>4543700</v>
      </c>
      <c r="M3" s="91">
        <f t="shared" si="4"/>
        <v>65.545803659180294</v>
      </c>
      <c r="N3" s="92">
        <v>4302600</v>
      </c>
      <c r="O3" s="91">
        <f t="shared" si="5"/>
        <v>68.510633351554645</v>
      </c>
      <c r="P3" s="92">
        <v>4498900</v>
      </c>
      <c r="Q3" s="91">
        <f t="shared" si="6"/>
        <v>64.767861297240273</v>
      </c>
      <c r="R3" s="92">
        <v>4776650</v>
      </c>
      <c r="S3" s="91">
        <f t="shared" si="7"/>
        <v>55.795330954099988</v>
      </c>
      <c r="T3" s="92">
        <v>5330950</v>
      </c>
      <c r="U3" s="91">
        <f t="shared" si="8"/>
        <v>66.19558215158645</v>
      </c>
      <c r="V3" s="92">
        <v>5771300</v>
      </c>
      <c r="W3" s="91">
        <f t="shared" si="9"/>
        <v>82.85590655384722</v>
      </c>
      <c r="X3" s="92">
        <v>6427050</v>
      </c>
      <c r="Y3" s="91">
        <f t="shared" si="10"/>
        <v>78.02538433606766</v>
      </c>
      <c r="Z3" s="92">
        <v>7030550</v>
      </c>
      <c r="AA3" s="91">
        <f t="shared" si="11"/>
        <v>74.436920280483477</v>
      </c>
      <c r="AB3" s="92">
        <v>7340300</v>
      </c>
      <c r="AC3" s="91">
        <f t="shared" si="12"/>
        <v>71.996229670356087</v>
      </c>
      <c r="AD3" s="92">
        <v>6307200</v>
      </c>
      <c r="AE3" s="91">
        <f t="shared" si="13"/>
        <v>73.597889148313783</v>
      </c>
      <c r="AF3" s="92">
        <v>7283700</v>
      </c>
      <c r="AG3" s="91">
        <f t="shared" si="14"/>
        <v>78.329773540846233</v>
      </c>
      <c r="AH3" s="92">
        <v>8580950</v>
      </c>
      <c r="AI3" s="91">
        <f t="shared" si="15"/>
        <v>72.455911701389724</v>
      </c>
      <c r="AJ3" s="92">
        <v>10100900</v>
      </c>
      <c r="AK3" s="91">
        <f t="shared" si="16"/>
        <v>27.870783246847331</v>
      </c>
      <c r="AL3" s="92">
        <v>10772400</v>
      </c>
      <c r="AM3" s="91">
        <f t="shared" ref="AM3:AM9" si="17">AL3/$AL$11*100</f>
        <v>27.216295497964804</v>
      </c>
    </row>
    <row r="4" spans="1:39" x14ac:dyDescent="0.25">
      <c r="A4" s="99" t="s">
        <v>60</v>
      </c>
      <c r="B4" s="96">
        <v>40000</v>
      </c>
      <c r="C4" s="93">
        <f>(B4/$B$11)*100</f>
        <v>0.78927470390359489</v>
      </c>
      <c r="D4" s="94">
        <v>40500</v>
      </c>
      <c r="E4" s="93">
        <f t="shared" si="0"/>
        <v>0.63354741500140166</v>
      </c>
      <c r="F4" s="94">
        <v>58500</v>
      </c>
      <c r="G4" s="93">
        <f t="shared" si="1"/>
        <v>0.9151240438909134</v>
      </c>
      <c r="H4" s="94">
        <v>45730</v>
      </c>
      <c r="I4" s="93">
        <f t="shared" si="2"/>
        <v>0.75887063852666581</v>
      </c>
      <c r="J4" s="92">
        <v>60230</v>
      </c>
      <c r="K4" s="91">
        <f t="shared" si="3"/>
        <v>0.85053010210032787</v>
      </c>
      <c r="L4" s="92">
        <v>79409</v>
      </c>
      <c r="M4" s="91">
        <f t="shared" si="4"/>
        <v>1.1455260520659039</v>
      </c>
      <c r="N4" s="92">
        <v>85980</v>
      </c>
      <c r="O4" s="91">
        <f t="shared" si="5"/>
        <v>1.3690662054494185</v>
      </c>
      <c r="P4" s="92">
        <v>85980</v>
      </c>
      <c r="Q4" s="91">
        <f t="shared" si="6"/>
        <v>1.2378005099772653</v>
      </c>
      <c r="R4" s="92">
        <v>55980</v>
      </c>
      <c r="S4" s="91">
        <f t="shared" si="7"/>
        <v>0.65389396895533836</v>
      </c>
      <c r="T4" s="92">
        <v>40980</v>
      </c>
      <c r="U4" s="91">
        <f t="shared" si="8"/>
        <v>0.50885770014200338</v>
      </c>
      <c r="V4" s="92">
        <v>55000</v>
      </c>
      <c r="W4" s="91">
        <f t="shared" si="9"/>
        <v>0.78960976910948966</v>
      </c>
      <c r="X4" s="92">
        <v>66000</v>
      </c>
      <c r="Y4" s="91">
        <f t="shared" si="10"/>
        <v>0.80125024174083992</v>
      </c>
      <c r="Z4" s="92">
        <v>41450</v>
      </c>
      <c r="AA4" s="91">
        <f t="shared" si="11"/>
        <v>0.43885760653519856</v>
      </c>
      <c r="AB4" s="92">
        <v>36450</v>
      </c>
      <c r="AC4" s="91">
        <f t="shared" si="12"/>
        <v>0.35751434838964063</v>
      </c>
      <c r="AD4" s="92">
        <v>65658</v>
      </c>
      <c r="AE4" s="91">
        <f t="shared" si="13"/>
        <v>0.7661545861396476</v>
      </c>
      <c r="AF4" s="92">
        <v>74079</v>
      </c>
      <c r="AG4" s="91">
        <f t="shared" si="14"/>
        <v>0.79665435069159207</v>
      </c>
      <c r="AH4" s="92">
        <v>52476</v>
      </c>
      <c r="AI4" s="91">
        <f t="shared" si="15"/>
        <v>0.44309737528387033</v>
      </c>
      <c r="AJ4" s="92">
        <v>53993</v>
      </c>
      <c r="AK4" s="91">
        <f t="shared" si="16"/>
        <v>0.14897951666158737</v>
      </c>
      <c r="AL4" s="92">
        <v>5603</v>
      </c>
      <c r="AM4" s="91">
        <f t="shared" si="17"/>
        <v>1.4155889465216367E-2</v>
      </c>
    </row>
    <row r="5" spans="1:39" x14ac:dyDescent="0.25">
      <c r="A5" s="223" t="s">
        <v>98</v>
      </c>
      <c r="B5" s="98">
        <v>176006</v>
      </c>
      <c r="C5" s="93">
        <f>(B5/$B$11)*100</f>
        <v>3.472927088381403</v>
      </c>
      <c r="D5" s="81">
        <v>1640569</v>
      </c>
      <c r="E5" s="93">
        <f t="shared" si="0"/>
        <v>25.663660471146532</v>
      </c>
      <c r="F5" s="81">
        <v>1647849</v>
      </c>
      <c r="G5" s="93">
        <f t="shared" si="1"/>
        <v>25.777542574386285</v>
      </c>
      <c r="H5" s="81">
        <v>1296585</v>
      </c>
      <c r="I5" s="93">
        <f t="shared" si="2"/>
        <v>21.516297547651366</v>
      </c>
      <c r="J5" s="97">
        <f>1995546+1880</f>
        <v>1997426</v>
      </c>
      <c r="K5" s="91">
        <f t="shared" si="3"/>
        <v>28.206391162507877</v>
      </c>
      <c r="L5" s="97">
        <f>1872536+925</f>
        <v>1873461</v>
      </c>
      <c r="M5" s="91">
        <f t="shared" si="4"/>
        <v>27.025883502240806</v>
      </c>
      <c r="N5" s="97">
        <f>1507801+605</f>
        <v>1508406</v>
      </c>
      <c r="O5" s="91">
        <f t="shared" si="5"/>
        <v>24.018465674542167</v>
      </c>
      <c r="P5" s="97">
        <f>1857309+435</f>
        <v>1857744</v>
      </c>
      <c r="Q5" s="91">
        <f t="shared" si="6"/>
        <v>26.744783328764882</v>
      </c>
      <c r="R5" s="92">
        <v>3199577</v>
      </c>
      <c r="S5" s="91">
        <f t="shared" si="7"/>
        <v>37.373778197717307</v>
      </c>
      <c r="T5" s="92">
        <v>2170452</v>
      </c>
      <c r="U5" s="91">
        <f t="shared" si="8"/>
        <v>26.950981283275048</v>
      </c>
      <c r="V5" s="92">
        <v>591823</v>
      </c>
      <c r="W5" s="91">
        <f t="shared" si="9"/>
        <v>8.4965313160670082</v>
      </c>
      <c r="X5" s="92">
        <v>701761</v>
      </c>
      <c r="Y5" s="91">
        <f t="shared" si="10"/>
        <v>8.5194874377923284</v>
      </c>
      <c r="Z5" s="92">
        <v>1327707</v>
      </c>
      <c r="AA5" s="91">
        <f t="shared" si="11"/>
        <v>14.057281452352926</v>
      </c>
      <c r="AB5" s="92">
        <v>1635206</v>
      </c>
      <c r="AC5" s="91">
        <f t="shared" si="12"/>
        <v>16.038672361394532</v>
      </c>
      <c r="AD5" s="92">
        <v>792933</v>
      </c>
      <c r="AE5" s="91">
        <f t="shared" si="13"/>
        <v>9.2526311257039389</v>
      </c>
      <c r="AF5" s="92">
        <v>606358</v>
      </c>
      <c r="AG5" s="91">
        <f t="shared" si="14"/>
        <v>6.5208458372366298</v>
      </c>
      <c r="AH5" s="183">
        <v>1713522</v>
      </c>
      <c r="AI5" s="91">
        <f t="shared" si="15"/>
        <v>14.4686542551103</v>
      </c>
      <c r="AJ5" s="183">
        <v>714227</v>
      </c>
      <c r="AK5" s="91">
        <f t="shared" si="16"/>
        <v>1.9707220055684174</v>
      </c>
      <c r="AL5" s="183">
        <v>1372594</v>
      </c>
      <c r="AM5" s="91">
        <f t="shared" si="17"/>
        <v>3.4678366847437436</v>
      </c>
    </row>
    <row r="6" spans="1:39" x14ac:dyDescent="0.25">
      <c r="A6" s="223" t="s">
        <v>97</v>
      </c>
      <c r="B6" s="98"/>
      <c r="C6" s="93"/>
      <c r="D6" s="81">
        <v>0</v>
      </c>
      <c r="E6" s="93">
        <f t="shared" si="0"/>
        <v>0</v>
      </c>
      <c r="F6" s="81">
        <v>0</v>
      </c>
      <c r="G6" s="93">
        <f t="shared" si="1"/>
        <v>0</v>
      </c>
      <c r="H6" s="81">
        <v>198587</v>
      </c>
      <c r="I6" s="93">
        <f t="shared" si="2"/>
        <v>3.295470008595998</v>
      </c>
      <c r="J6" s="97">
        <v>198587</v>
      </c>
      <c r="K6" s="91">
        <f t="shared" si="3"/>
        <v>2.8043204613282051</v>
      </c>
      <c r="L6" s="97">
        <v>153000</v>
      </c>
      <c r="M6" s="91">
        <f t="shared" si="4"/>
        <v>2.2071237009165623</v>
      </c>
      <c r="N6" s="97">
        <v>198587</v>
      </c>
      <c r="O6" s="91">
        <f t="shared" si="5"/>
        <v>3.1621161961105337</v>
      </c>
      <c r="P6" s="97">
        <v>198587</v>
      </c>
      <c r="Q6" s="91">
        <f t="shared" si="6"/>
        <v>2.8589333551390461</v>
      </c>
      <c r="R6" s="92">
        <v>207979</v>
      </c>
      <c r="S6" s="91">
        <f t="shared" si="7"/>
        <v>2.4293714499707453</v>
      </c>
      <c r="T6" s="92">
        <v>208810</v>
      </c>
      <c r="U6" s="91">
        <f t="shared" si="8"/>
        <v>2.5928398332516278</v>
      </c>
      <c r="V6" s="92">
        <v>209438</v>
      </c>
      <c r="W6" s="91">
        <f t="shared" si="9"/>
        <v>3.0068052876864231</v>
      </c>
      <c r="X6" s="92">
        <v>210904</v>
      </c>
      <c r="Y6" s="91">
        <f t="shared" si="10"/>
        <v>2.5604072876380322</v>
      </c>
      <c r="Z6" s="92">
        <v>216176</v>
      </c>
      <c r="AA6" s="91">
        <f t="shared" si="11"/>
        <v>2.2887932919264919</v>
      </c>
      <c r="AB6" s="92">
        <v>312465</v>
      </c>
      <c r="AC6" s="91">
        <f t="shared" si="12"/>
        <v>3.0647660046521001</v>
      </c>
      <c r="AD6" s="92">
        <v>321214</v>
      </c>
      <c r="AE6" s="91">
        <f t="shared" si="13"/>
        <v>3.7482040152344083</v>
      </c>
      <c r="AF6" s="92">
        <v>331493</v>
      </c>
      <c r="AG6" s="91">
        <f t="shared" si="14"/>
        <v>3.5649150322467618</v>
      </c>
      <c r="AH6" s="183">
        <v>344090</v>
      </c>
      <c r="AI6" s="91">
        <f t="shared" si="15"/>
        <v>2.9054305942035779</v>
      </c>
      <c r="AJ6" s="183">
        <v>396047</v>
      </c>
      <c r="AK6" s="91">
        <f t="shared" si="16"/>
        <v>1.0927877805506583</v>
      </c>
      <c r="AL6" s="183">
        <v>438424</v>
      </c>
      <c r="AM6" s="91">
        <f t="shared" si="17"/>
        <v>1.1076711909509227</v>
      </c>
    </row>
    <row r="7" spans="1:39" ht="31.5" x14ac:dyDescent="0.25">
      <c r="A7" s="224" t="s">
        <v>96</v>
      </c>
      <c r="B7" s="96">
        <v>124479</v>
      </c>
      <c r="C7" s="93">
        <f>(B7/$B$11)*100</f>
        <v>2.4562031466803895</v>
      </c>
      <c r="D7" s="94">
        <v>122010</v>
      </c>
      <c r="E7" s="93">
        <f t="shared" si="0"/>
        <v>1.9086202494894078</v>
      </c>
      <c r="F7" s="94">
        <v>129223</v>
      </c>
      <c r="G7" s="93">
        <f t="shared" si="1"/>
        <v>2.0214542619438549</v>
      </c>
      <c r="H7" s="94">
        <v>128864</v>
      </c>
      <c r="I7" s="93">
        <f t="shared" si="2"/>
        <v>2.1384453523529472</v>
      </c>
      <c r="J7" s="92">
        <v>117892</v>
      </c>
      <c r="K7" s="91">
        <f t="shared" si="3"/>
        <v>1.6647965265949169</v>
      </c>
      <c r="L7" s="92">
        <v>113129</v>
      </c>
      <c r="M7" s="91">
        <f t="shared" si="4"/>
        <v>1.6319588049737894</v>
      </c>
      <c r="N7" s="92">
        <v>0</v>
      </c>
      <c r="O7" s="91">
        <f t="shared" si="5"/>
        <v>0</v>
      </c>
      <c r="P7" s="92">
        <v>113129</v>
      </c>
      <c r="Q7" s="91">
        <f t="shared" si="6"/>
        <v>1.6286477540499888</v>
      </c>
      <c r="R7" s="92">
        <v>114252</v>
      </c>
      <c r="S7" s="91">
        <f t="shared" si="7"/>
        <v>1.3345604455356435</v>
      </c>
      <c r="T7" s="92">
        <v>116831</v>
      </c>
      <c r="U7" s="91">
        <f t="shared" si="8"/>
        <v>1.450716299787467</v>
      </c>
      <c r="V7" s="92">
        <v>123989</v>
      </c>
      <c r="W7" s="91">
        <f t="shared" si="9"/>
        <v>1.7800531938566635</v>
      </c>
      <c r="X7" s="92">
        <v>130188</v>
      </c>
      <c r="Y7" s="91">
        <f t="shared" si="10"/>
        <v>1.5805025222993405</v>
      </c>
      <c r="Z7" s="92">
        <v>143207</v>
      </c>
      <c r="AA7" s="91">
        <f t="shared" si="11"/>
        <v>1.5162239145738523</v>
      </c>
      <c r="AB7" s="92">
        <v>156273</v>
      </c>
      <c r="AC7" s="91">
        <f t="shared" si="12"/>
        <v>1.5327802404909276</v>
      </c>
      <c r="AD7" s="92">
        <v>171417</v>
      </c>
      <c r="AE7" s="91">
        <f t="shared" si="13"/>
        <v>2.0002424790931799</v>
      </c>
      <c r="AF7" s="92">
        <v>171417</v>
      </c>
      <c r="AG7" s="91">
        <f t="shared" si="14"/>
        <v>1.8434387455621786</v>
      </c>
      <c r="AH7" s="183">
        <v>195368</v>
      </c>
      <c r="AI7" s="91">
        <f t="shared" si="15"/>
        <v>1.6496502784979643</v>
      </c>
      <c r="AJ7" s="183">
        <v>200411</v>
      </c>
      <c r="AK7" s="91">
        <f t="shared" si="16"/>
        <v>0.55298157008622206</v>
      </c>
      <c r="AL7" s="183">
        <v>230958</v>
      </c>
      <c r="AM7" s="91">
        <f t="shared" si="17"/>
        <v>0.58351167572861706</v>
      </c>
    </row>
    <row r="8" spans="1:39" x14ac:dyDescent="0.25">
      <c r="A8" s="224" t="s">
        <v>95</v>
      </c>
      <c r="B8" s="94">
        <v>473850</v>
      </c>
      <c r="C8" s="93">
        <f>(B8/$B$11)*100</f>
        <v>9.3499454611179598</v>
      </c>
      <c r="D8" s="94">
        <v>163000</v>
      </c>
      <c r="E8" s="93">
        <f t="shared" si="0"/>
        <v>2.5498328060550239</v>
      </c>
      <c r="F8" s="94">
        <v>321316</v>
      </c>
      <c r="G8" s="93">
        <f t="shared" si="1"/>
        <v>5.0263931160145772</v>
      </c>
      <c r="H8" s="94">
        <v>65240</v>
      </c>
      <c r="I8" s="93">
        <f t="shared" si="2"/>
        <v>1.0826311055648301</v>
      </c>
      <c r="J8" s="92">
        <v>0</v>
      </c>
      <c r="K8" s="91">
        <f>(J8/$H$11)*100</f>
        <v>0</v>
      </c>
      <c r="L8" s="92"/>
      <c r="M8" s="91">
        <f>(L8/$H$11)*100</f>
        <v>0</v>
      </c>
      <c r="N8" s="92"/>
      <c r="O8" s="91">
        <f t="shared" si="5"/>
        <v>0</v>
      </c>
      <c r="P8" s="92"/>
      <c r="Q8" s="91">
        <f t="shared" si="6"/>
        <v>0</v>
      </c>
      <c r="R8" s="92">
        <v>43646</v>
      </c>
      <c r="S8" s="91">
        <f t="shared" si="7"/>
        <v>0.50982236814978021</v>
      </c>
      <c r="T8" s="92">
        <v>44918</v>
      </c>
      <c r="U8" s="91">
        <f t="shared" si="8"/>
        <v>0.55775671486038325</v>
      </c>
      <c r="V8" s="92">
        <v>49096</v>
      </c>
      <c r="W8" s="91">
        <f t="shared" si="9"/>
        <v>0.70484874953090004</v>
      </c>
      <c r="X8" s="92">
        <v>88104</v>
      </c>
      <c r="Y8" s="91">
        <f t="shared" si="10"/>
        <v>1.0695962317929539</v>
      </c>
      <c r="Z8" s="92">
        <v>122726</v>
      </c>
      <c r="AA8" s="91">
        <f t="shared" si="11"/>
        <v>1.2993784950455676</v>
      </c>
      <c r="AB8" s="92">
        <v>129449</v>
      </c>
      <c r="AC8" s="91">
        <f t="shared" si="12"/>
        <v>1.2696810667953522</v>
      </c>
      <c r="AD8" s="92">
        <v>329892</v>
      </c>
      <c r="AE8" s="91">
        <f t="shared" si="13"/>
        <v>3.849466458478489</v>
      </c>
      <c r="AF8" s="92">
        <v>233717</v>
      </c>
      <c r="AG8" s="91">
        <f t="shared" si="14"/>
        <v>2.5134203334357483</v>
      </c>
      <c r="AH8" s="183">
        <v>201053</v>
      </c>
      <c r="AI8" s="91">
        <f t="shared" si="15"/>
        <v>1.6976533385347203</v>
      </c>
      <c r="AJ8" s="183">
        <f>24147445-23978940</f>
        <v>168505</v>
      </c>
      <c r="AK8" s="91">
        <f t="shared" si="16"/>
        <v>0.46494533467413884</v>
      </c>
      <c r="AL8" s="183">
        <v>235220</v>
      </c>
      <c r="AM8" s="91">
        <f t="shared" si="17"/>
        <v>0.59427955024240475</v>
      </c>
    </row>
    <row r="9" spans="1:39" x14ac:dyDescent="0.25">
      <c r="A9" s="241" t="s">
        <v>329</v>
      </c>
      <c r="B9" s="242"/>
      <c r="C9" s="243"/>
      <c r="D9" s="242"/>
      <c r="E9" s="243"/>
      <c r="F9" s="242"/>
      <c r="G9" s="243"/>
      <c r="H9" s="242"/>
      <c r="I9" s="243"/>
      <c r="J9" s="244"/>
      <c r="K9" s="245"/>
      <c r="L9" s="244"/>
      <c r="M9" s="245"/>
      <c r="N9" s="244"/>
      <c r="O9" s="245"/>
      <c r="P9" s="244"/>
      <c r="Q9" s="245"/>
      <c r="R9" s="244"/>
      <c r="S9" s="245"/>
      <c r="T9" s="244"/>
      <c r="U9" s="245"/>
      <c r="V9" s="244"/>
      <c r="W9" s="245"/>
      <c r="X9" s="244"/>
      <c r="Y9" s="245"/>
      <c r="Z9" s="244"/>
      <c r="AA9" s="245"/>
      <c r="AB9" s="244"/>
      <c r="AC9" s="245"/>
      <c r="AD9" s="244"/>
      <c r="AE9" s="245"/>
      <c r="AF9" s="244"/>
      <c r="AG9" s="245"/>
      <c r="AH9" s="246"/>
      <c r="AI9" s="245"/>
      <c r="AJ9" s="246">
        <v>23978940</v>
      </c>
      <c r="AK9" s="245">
        <f t="shared" si="16"/>
        <v>66.163593266853184</v>
      </c>
      <c r="AL9" s="246">
        <v>25692457</v>
      </c>
      <c r="AM9" s="91">
        <f t="shared" si="17"/>
        <v>64.911579757598531</v>
      </c>
    </row>
    <row r="10" spans="1:39" x14ac:dyDescent="0.25">
      <c r="B10" s="90"/>
      <c r="D10" s="90"/>
      <c r="F10" s="90"/>
      <c r="H10" s="90"/>
      <c r="J10" s="90"/>
      <c r="L10" s="90"/>
      <c r="N10" s="90"/>
      <c r="P10" s="90"/>
      <c r="R10" s="90"/>
      <c r="T10" s="90"/>
      <c r="V10" s="90"/>
      <c r="X10" s="90"/>
      <c r="Z10" s="90"/>
      <c r="AB10" s="90"/>
      <c r="AD10" s="90"/>
      <c r="AF10" s="90"/>
      <c r="AH10" s="90"/>
      <c r="AJ10" s="90"/>
      <c r="AL10" s="90"/>
    </row>
    <row r="11" spans="1:39" x14ac:dyDescent="0.25">
      <c r="A11" s="89" t="s">
        <v>94</v>
      </c>
      <c r="B11" s="88">
        <f t="shared" ref="B11:Y11" si="18">SUM(B2:B10)</f>
        <v>5067944</v>
      </c>
      <c r="C11" s="87">
        <f t="shared" si="18"/>
        <v>100</v>
      </c>
      <c r="D11" s="88">
        <f t="shared" si="18"/>
        <v>6392576</v>
      </c>
      <c r="E11" s="87">
        <f t="shared" si="18"/>
        <v>100</v>
      </c>
      <c r="F11" s="88">
        <f t="shared" si="18"/>
        <v>6873083</v>
      </c>
      <c r="G11" s="87">
        <f t="shared" si="18"/>
        <v>107.51664117876737</v>
      </c>
      <c r="H11" s="88">
        <f t="shared" si="18"/>
        <v>6026060</v>
      </c>
      <c r="I11" s="87">
        <f t="shared" si="18"/>
        <v>100</v>
      </c>
      <c r="J11" s="86">
        <f t="shared" si="18"/>
        <v>7081466</v>
      </c>
      <c r="K11" s="85">
        <f t="shared" si="18"/>
        <v>99.999999999999972</v>
      </c>
      <c r="L11" s="86">
        <f t="shared" si="18"/>
        <v>6932099</v>
      </c>
      <c r="M11" s="85">
        <f t="shared" si="18"/>
        <v>100.00000000000001</v>
      </c>
      <c r="N11" s="86">
        <f t="shared" si="18"/>
        <v>6280193</v>
      </c>
      <c r="O11" s="85">
        <f t="shared" si="18"/>
        <v>100</v>
      </c>
      <c r="P11" s="86">
        <f t="shared" si="18"/>
        <v>6946192</v>
      </c>
      <c r="Q11" s="85">
        <f t="shared" si="18"/>
        <v>100</v>
      </c>
      <c r="R11" s="86">
        <f t="shared" si="18"/>
        <v>8561021</v>
      </c>
      <c r="S11" s="85">
        <f t="shared" si="18"/>
        <v>100</v>
      </c>
      <c r="T11" s="86">
        <f t="shared" si="18"/>
        <v>8053332</v>
      </c>
      <c r="U11" s="85">
        <f t="shared" si="18"/>
        <v>100.00000000000003</v>
      </c>
      <c r="V11" s="86">
        <f t="shared" si="18"/>
        <v>6965466</v>
      </c>
      <c r="W11" s="85">
        <f t="shared" si="18"/>
        <v>99.999999999999986</v>
      </c>
      <c r="X11" s="86">
        <f t="shared" si="18"/>
        <v>8237127</v>
      </c>
      <c r="Y11" s="85">
        <f t="shared" si="18"/>
        <v>100</v>
      </c>
      <c r="Z11" s="86">
        <f t="shared" ref="Z11:AE11" si="19">SUM(Z2:Z10)</f>
        <v>9444977</v>
      </c>
      <c r="AA11" s="85">
        <f t="shared" si="19"/>
        <v>100</v>
      </c>
      <c r="AB11" s="86">
        <f t="shared" si="19"/>
        <v>10195395</v>
      </c>
      <c r="AC11" s="85">
        <f t="shared" si="19"/>
        <v>100.00000000000001</v>
      </c>
      <c r="AD11" s="86">
        <f t="shared" si="19"/>
        <v>8569811</v>
      </c>
      <c r="AE11" s="85">
        <f t="shared" si="19"/>
        <v>100.00000000000001</v>
      </c>
      <c r="AF11" s="86">
        <f t="shared" ref="AF11:AG11" si="20">SUM(AF2:AF10)</f>
        <v>9298763</v>
      </c>
      <c r="AG11" s="85">
        <f t="shared" si="20"/>
        <v>100</v>
      </c>
      <c r="AH11" s="86">
        <f t="shared" ref="AH11:AI11" si="21">SUM(AH2:AH10)</f>
        <v>11842995</v>
      </c>
      <c r="AI11" s="85">
        <f t="shared" si="21"/>
        <v>99.999999999999986</v>
      </c>
      <c r="AJ11" s="86">
        <f t="shared" ref="AJ11:AK11" si="22">SUM(AJ2:AJ10)</f>
        <v>36241895</v>
      </c>
      <c r="AK11" s="85">
        <f t="shared" si="22"/>
        <v>100</v>
      </c>
      <c r="AL11" s="86">
        <f t="shared" ref="AL11:AM11" si="23">SUM(AL2:AL10)</f>
        <v>39580699</v>
      </c>
      <c r="AM11" s="85">
        <f t="shared" si="23"/>
        <v>100</v>
      </c>
    </row>
    <row r="12" spans="1:39" x14ac:dyDescent="0.25">
      <c r="B12" s="64">
        <v>4697998</v>
      </c>
    </row>
    <row r="13" spans="1:39" x14ac:dyDescent="0.25">
      <c r="B13" s="44">
        <f>B12-B11</f>
        <v>-369946</v>
      </c>
    </row>
    <row r="14" spans="1:39" x14ac:dyDescent="0.25">
      <c r="D14" s="44">
        <f>D7+D5+D8</f>
        <v>1925579</v>
      </c>
      <c r="E14" s="44"/>
      <c r="F14" s="44"/>
      <c r="G14" s="44"/>
      <c r="H14" s="44">
        <f>H7+H5+H8</f>
        <v>1490689</v>
      </c>
      <c r="J14" s="44">
        <f>J7+J5+J8</f>
        <v>2115318</v>
      </c>
      <c r="L14" s="44">
        <f>L7+L5+L8</f>
        <v>1986590</v>
      </c>
      <c r="N14" s="44">
        <f>N7+N5+N8</f>
        <v>1508406</v>
      </c>
      <c r="P14" s="44">
        <f>P5+P6+P7+P8</f>
        <v>2169460</v>
      </c>
      <c r="R14" s="44">
        <f>R5+R6+R7+R8</f>
        <v>3565454</v>
      </c>
      <c r="T14" s="44">
        <f>T5+T6+T7+T8</f>
        <v>2541011</v>
      </c>
      <c r="V14" s="44">
        <f>V5+V6+V7+V8</f>
        <v>974346</v>
      </c>
      <c r="X14" s="44">
        <f>X5+X6+X7+X8</f>
        <v>1130957</v>
      </c>
      <c r="Z14" s="44">
        <f>Z5+Z6+Z7+Z8</f>
        <v>1809816</v>
      </c>
      <c r="AB14" s="44">
        <f>AB5+AB6+AB7+AB8</f>
        <v>2233393</v>
      </c>
      <c r="AD14" s="44">
        <f>AD5+AD6+AD7+AD8</f>
        <v>1615456</v>
      </c>
      <c r="AF14" s="44">
        <f>AF5+AF6+AF7+AF8</f>
        <v>1342985</v>
      </c>
      <c r="AH14" s="44">
        <f>AH5+AH6+AH7+AH8</f>
        <v>2454033</v>
      </c>
      <c r="AJ14" s="44">
        <f>AJ5+AJ6+AJ7+AJ8+AJ9</f>
        <v>25458130</v>
      </c>
      <c r="AL14" s="44">
        <f>AL5+AL6+AL7+AL8+AL9</f>
        <v>27969653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AM33"/>
  <sheetViews>
    <sheetView workbookViewId="0">
      <selection activeCell="AM31" sqref="AM31"/>
    </sheetView>
  </sheetViews>
  <sheetFormatPr defaultColWidth="10.28515625" defaultRowHeight="15.75" x14ac:dyDescent="0.25"/>
  <cols>
    <col min="1" max="1" width="48.7109375" style="64" customWidth="1"/>
    <col min="2" max="2" width="18.42578125" style="64" hidden="1" customWidth="1"/>
    <col min="3" max="3" width="10.28515625" style="64" hidden="1" customWidth="1"/>
    <col min="4" max="4" width="17.7109375" style="64" hidden="1" customWidth="1"/>
    <col min="5" max="5" width="15" style="64" hidden="1" customWidth="1"/>
    <col min="6" max="6" width="17.28515625" style="64" hidden="1" customWidth="1"/>
    <col min="7" max="7" width="10.28515625" style="64" hidden="1" customWidth="1"/>
    <col min="8" max="8" width="17.28515625" style="103" hidden="1" customWidth="1"/>
    <col min="9" max="9" width="10.28515625" style="64" hidden="1" customWidth="1"/>
    <col min="10" max="10" width="17.28515625" style="103" hidden="1" customWidth="1"/>
    <col min="11" max="11" width="10.28515625" style="64" hidden="1" customWidth="1"/>
    <col min="12" max="12" width="17.28515625" style="103" hidden="1" customWidth="1"/>
    <col min="13" max="13" width="10.28515625" style="64" hidden="1" customWidth="1"/>
    <col min="14" max="14" width="17.28515625" style="103" hidden="1" customWidth="1"/>
    <col min="15" max="15" width="10.28515625" style="64" hidden="1" customWidth="1"/>
    <col min="16" max="16" width="17.28515625" style="103" hidden="1" customWidth="1"/>
    <col min="17" max="17" width="0" style="64" hidden="1" customWidth="1"/>
    <col min="18" max="18" width="17.28515625" style="103" hidden="1" customWidth="1"/>
    <col min="19" max="19" width="11.5703125" style="64" hidden="1" customWidth="1"/>
    <col min="20" max="20" width="17.28515625" style="103" hidden="1" customWidth="1"/>
    <col min="21" max="21" width="11.5703125" style="64" hidden="1" customWidth="1"/>
    <col min="22" max="22" width="17.28515625" style="103" hidden="1" customWidth="1"/>
    <col min="23" max="23" width="11.5703125" style="64" hidden="1" customWidth="1"/>
    <col min="24" max="24" width="17.28515625" style="103" hidden="1" customWidth="1"/>
    <col min="25" max="25" width="11.5703125" style="64" hidden="1" customWidth="1"/>
    <col min="26" max="26" width="17.28515625" style="103" hidden="1" customWidth="1"/>
    <col min="27" max="27" width="11.5703125" style="64" hidden="1" customWidth="1"/>
    <col min="28" max="28" width="17.28515625" style="103" hidden="1" customWidth="1"/>
    <col min="29" max="29" width="11.5703125" style="64" hidden="1" customWidth="1"/>
    <col min="30" max="30" width="17.28515625" style="103" hidden="1" customWidth="1"/>
    <col min="31" max="31" width="11.5703125" style="64" hidden="1" customWidth="1"/>
    <col min="32" max="32" width="17.28515625" style="103" customWidth="1"/>
    <col min="33" max="33" width="11.5703125" style="64" customWidth="1"/>
    <col min="34" max="34" width="17.28515625" style="103" customWidth="1"/>
    <col min="35" max="35" width="11.5703125" style="64" customWidth="1"/>
    <col min="36" max="36" width="17.28515625" style="103" customWidth="1"/>
    <col min="37" max="37" width="11.5703125" style="64" customWidth="1"/>
    <col min="38" max="38" width="17.28515625" style="64" customWidth="1"/>
    <col min="39" max="39" width="11.5703125" style="64" customWidth="1"/>
    <col min="40" max="16384" width="10.28515625" style="64"/>
  </cols>
  <sheetData>
    <row r="1" spans="1:39" ht="35.25" customHeight="1" x14ac:dyDescent="0.25">
      <c r="A1" s="102" t="s">
        <v>125</v>
      </c>
      <c r="B1" s="101" t="s">
        <v>110</v>
      </c>
      <c r="C1" s="101"/>
      <c r="D1" s="101" t="s">
        <v>109</v>
      </c>
      <c r="E1" s="101"/>
      <c r="F1" s="101" t="s">
        <v>108</v>
      </c>
      <c r="G1" s="101"/>
      <c r="H1" s="129" t="s">
        <v>107</v>
      </c>
      <c r="I1" s="101"/>
      <c r="J1" s="128" t="s">
        <v>106</v>
      </c>
      <c r="K1" s="100"/>
      <c r="L1" s="128" t="s">
        <v>105</v>
      </c>
      <c r="M1" s="100"/>
      <c r="N1" s="128" t="s">
        <v>104</v>
      </c>
      <c r="O1" s="100"/>
      <c r="P1" s="128" t="s">
        <v>103</v>
      </c>
      <c r="Q1" s="100"/>
      <c r="R1" s="128" t="s">
        <v>102</v>
      </c>
      <c r="S1" s="100"/>
      <c r="T1" s="128" t="s">
        <v>101</v>
      </c>
      <c r="U1" s="100"/>
      <c r="V1" s="128" t="s">
        <v>100</v>
      </c>
      <c r="W1" s="100"/>
      <c r="X1" s="128" t="s">
        <v>99</v>
      </c>
      <c r="Y1" s="100"/>
      <c r="Z1" s="128" t="s">
        <v>130</v>
      </c>
      <c r="AA1" s="100"/>
      <c r="AB1" s="128" t="s">
        <v>169</v>
      </c>
      <c r="AC1" s="100"/>
      <c r="AD1" s="128" t="s">
        <v>194</v>
      </c>
      <c r="AE1" s="100"/>
      <c r="AF1" s="128" t="s">
        <v>212</v>
      </c>
      <c r="AG1" s="100"/>
      <c r="AH1" s="128" t="s">
        <v>266</v>
      </c>
      <c r="AI1" s="100"/>
      <c r="AJ1" s="128" t="s">
        <v>321</v>
      </c>
      <c r="AK1" s="100"/>
      <c r="AL1" s="128" t="s">
        <v>485</v>
      </c>
      <c r="AM1" s="100"/>
    </row>
    <row r="2" spans="1:39" x14ac:dyDescent="0.25">
      <c r="A2" s="95" t="s">
        <v>124</v>
      </c>
      <c r="B2" s="94">
        <v>33878</v>
      </c>
      <c r="C2" s="93">
        <f>(B2/$B$14)*100</f>
        <v>0.63705070982319489</v>
      </c>
      <c r="D2" s="94">
        <v>39564</v>
      </c>
      <c r="E2" s="93">
        <f>(D2/$D$14)*100</f>
        <v>0.52307207405401746</v>
      </c>
      <c r="F2" s="94">
        <v>42663</v>
      </c>
      <c r="G2" s="93">
        <f>(F2/$D$14)*100</f>
        <v>0.56404367342449069</v>
      </c>
      <c r="H2" s="125">
        <v>40336</v>
      </c>
      <c r="I2" s="93">
        <f>(H2/$H$14)*100</f>
        <v>0.54301439763580883</v>
      </c>
      <c r="J2" s="124">
        <v>40321</v>
      </c>
      <c r="K2" s="91">
        <f>(J2/$J$14)*100</f>
        <v>0.4855577254448698</v>
      </c>
      <c r="L2" s="124">
        <v>40362</v>
      </c>
      <c r="M2" s="91">
        <f>(L2/$L$14)*100</f>
        <v>0.44750190228776782</v>
      </c>
      <c r="N2" s="124">
        <v>40362</v>
      </c>
      <c r="O2" s="91">
        <f>(N2/$N$14)*100</f>
        <v>0.53042833513945131</v>
      </c>
      <c r="P2" s="124">
        <v>0</v>
      </c>
      <c r="Q2" s="91">
        <f>(P2/$P$14)*100</f>
        <v>0</v>
      </c>
      <c r="R2" s="124"/>
      <c r="S2" s="91">
        <f>(R2/$R$14)*100</f>
        <v>0</v>
      </c>
      <c r="T2" s="124"/>
      <c r="U2" s="91">
        <f>(T2/$T$14)*100</f>
        <v>0</v>
      </c>
      <c r="V2" s="124"/>
      <c r="W2" s="91">
        <f>(V2/$V$14)*100</f>
        <v>0</v>
      </c>
      <c r="X2" s="124"/>
      <c r="Y2" s="91">
        <f>(X2/$X$14)*100</f>
        <v>0</v>
      </c>
      <c r="Z2" s="124"/>
      <c r="AA2" s="91">
        <f>(Z2/$Z$14)*100</f>
        <v>0</v>
      </c>
      <c r="AB2" s="124"/>
      <c r="AC2" s="91">
        <f>(AB2/$AB$14)*100</f>
        <v>0</v>
      </c>
      <c r="AD2" s="124"/>
      <c r="AE2" s="91">
        <f>(AD2/$AD$14)*100</f>
        <v>0</v>
      </c>
      <c r="AF2" s="124"/>
      <c r="AG2" s="91">
        <f>(AF2/$AF$14)*100</f>
        <v>0</v>
      </c>
      <c r="AH2" s="124"/>
      <c r="AI2" s="91">
        <f>(AH2/$AH$14)*100</f>
        <v>0</v>
      </c>
      <c r="AJ2" s="124"/>
      <c r="AK2" s="91">
        <f t="shared" ref="AK2:AK12" si="0">(AJ2/$AJ$14)*100</f>
        <v>0</v>
      </c>
      <c r="AL2" s="124"/>
      <c r="AM2" s="91">
        <f>(AL2/$AL$14)*100</f>
        <v>0</v>
      </c>
    </row>
    <row r="3" spans="1:39" x14ac:dyDescent="0.25">
      <c r="A3" s="95" t="s">
        <v>123</v>
      </c>
      <c r="B3" s="94">
        <v>325186</v>
      </c>
      <c r="C3" s="93">
        <f>(B3/$B$14)*100</f>
        <v>6.1148819919878816</v>
      </c>
      <c r="D3" s="94">
        <v>345169</v>
      </c>
      <c r="E3" s="93">
        <f>(D3/$D$14)*100</f>
        <v>4.563448203648548</v>
      </c>
      <c r="F3" s="94">
        <v>390214</v>
      </c>
      <c r="G3" s="93">
        <f>(F3/$D$14)*100</f>
        <v>5.158984084139985</v>
      </c>
      <c r="H3" s="125">
        <v>376007</v>
      </c>
      <c r="I3" s="93">
        <f>(H3/$H$14)*100</f>
        <v>5.0619103186197822</v>
      </c>
      <c r="J3" s="124">
        <v>368162</v>
      </c>
      <c r="K3" s="91">
        <f>(J3/$J$14)*100</f>
        <v>4.4335185961467758</v>
      </c>
      <c r="L3" s="124">
        <v>380226</v>
      </c>
      <c r="M3" s="91">
        <f>(L3/$L$14)*100</f>
        <v>4.2156448713955896</v>
      </c>
      <c r="N3" s="124">
        <v>371351</v>
      </c>
      <c r="O3" s="91">
        <f>(N3/$N$14)*100</f>
        <v>4.8802114038543776</v>
      </c>
      <c r="P3" s="124">
        <v>454831</v>
      </c>
      <c r="Q3" s="91">
        <f>(P3/$P$14)*100</f>
        <v>5.4940981124928099</v>
      </c>
      <c r="R3" s="124">
        <v>462728</v>
      </c>
      <c r="S3" s="91">
        <f>(R3/$R$14)*100</f>
        <v>4.7720570528993882</v>
      </c>
      <c r="T3" s="124">
        <f>487135+729</f>
        <v>487864</v>
      </c>
      <c r="U3" s="91">
        <f>(T3/$T$14)*100</f>
        <v>7.1607955748037648</v>
      </c>
      <c r="V3" s="124">
        <v>552029</v>
      </c>
      <c r="W3" s="91">
        <f>(V3/$V$14)*100</f>
        <v>6.9997324518191375</v>
      </c>
      <c r="X3" s="124">
        <v>611017</v>
      </c>
      <c r="Y3" s="91">
        <f>(X3/$X$14)*100</f>
        <v>6.5331957301674919</v>
      </c>
      <c r="Z3" s="124">
        <v>630528</v>
      </c>
      <c r="AA3" s="91">
        <f>(Z3/$Z$14)*100</f>
        <v>6.1308153865450867</v>
      </c>
      <c r="AB3" s="124">
        <v>675342</v>
      </c>
      <c r="AC3" s="91">
        <f>(AB3/$AB$14)*100</f>
        <v>6.2601827084725326</v>
      </c>
      <c r="AD3" s="124">
        <v>666171</v>
      </c>
      <c r="AE3" s="91">
        <f>(AD3/$AD$14)*100</f>
        <v>6.7545389801114686</v>
      </c>
      <c r="AF3" s="124">
        <v>696724</v>
      </c>
      <c r="AG3" s="91">
        <f>(AF3/$AF$14)*100</f>
        <v>5.8093461129542456</v>
      </c>
      <c r="AH3" s="124">
        <v>771435</v>
      </c>
      <c r="AI3" s="91">
        <f>(AH3/$AH$14)*100</f>
        <v>5.1801146342141458</v>
      </c>
      <c r="AJ3" s="226">
        <f>820884</f>
        <v>820884</v>
      </c>
      <c r="AK3" s="91">
        <f t="shared" si="0"/>
        <v>2.0791899324213374</v>
      </c>
      <c r="AL3" s="226">
        <v>829209</v>
      </c>
      <c r="AM3" s="91">
        <f t="shared" ref="AM3:AM12" si="1">(AL3/$AL$14)*100</f>
        <v>1.9409380279398882</v>
      </c>
    </row>
    <row r="4" spans="1:39" x14ac:dyDescent="0.25">
      <c r="A4" s="95" t="s">
        <v>112</v>
      </c>
      <c r="B4" s="94"/>
      <c r="C4" s="93"/>
      <c r="D4" s="94">
        <v>125289</v>
      </c>
      <c r="E4" s="93">
        <f>(D4/$D$14)*100</f>
        <v>1.6564345639003588</v>
      </c>
      <c r="F4" s="94">
        <v>118503</v>
      </c>
      <c r="G4" s="93">
        <f>(F4/$D$14)*100</f>
        <v>1.5667174702159343</v>
      </c>
      <c r="H4" s="125">
        <v>174848</v>
      </c>
      <c r="I4" s="93">
        <f>(H4/$H$14)*100</f>
        <v>2.3538521766616891</v>
      </c>
      <c r="J4" s="124">
        <v>292666</v>
      </c>
      <c r="K4" s="91">
        <f>(J4/$J$14)*100</f>
        <v>3.5243728398365182</v>
      </c>
      <c r="L4" s="124">
        <v>224176</v>
      </c>
      <c r="M4" s="91">
        <f>(L4/$L$14)*100</f>
        <v>2.4854860127660334</v>
      </c>
      <c r="N4" s="124">
        <v>190510</v>
      </c>
      <c r="O4" s="91">
        <f>(N4/$N$14)*100</f>
        <v>2.5036396146726347</v>
      </c>
      <c r="P4" s="124">
        <f>208012-6000-3000</f>
        <v>199012</v>
      </c>
      <c r="Q4" s="91">
        <f>(P4/$P$14)*100</f>
        <v>2.403951035798833</v>
      </c>
      <c r="R4" s="124">
        <v>224902</v>
      </c>
      <c r="S4" s="91">
        <f>(R4/$R$14)*100</f>
        <v>2.3193867138171411</v>
      </c>
      <c r="T4" s="124">
        <v>284745</v>
      </c>
      <c r="U4" s="91">
        <f>(T4/$T$14)*100</f>
        <v>4.1794449599632228</v>
      </c>
      <c r="V4" s="124">
        <v>215385</v>
      </c>
      <c r="W4" s="91">
        <f>(V4/$V$14)*100</f>
        <v>2.7310836462125447</v>
      </c>
      <c r="X4" s="124">
        <v>230412</v>
      </c>
      <c r="Y4" s="91">
        <f>(X4/$X$14)*100</f>
        <v>2.4636412646118719</v>
      </c>
      <c r="Z4" s="124">
        <v>261042</v>
      </c>
      <c r="AA4" s="91">
        <f>(Z4/$Z$14)*100</f>
        <v>2.5381907070494925</v>
      </c>
      <c r="AB4" s="124">
        <v>287965</v>
      </c>
      <c r="AC4" s="91">
        <f>(AB4/$AB$14)*100</f>
        <v>2.6693342242083165</v>
      </c>
      <c r="AD4" s="124">
        <v>265371</v>
      </c>
      <c r="AE4" s="91">
        <f>(AD4/$AD$14)*100</f>
        <v>2.6906886725647925</v>
      </c>
      <c r="AF4" s="124">
        <v>488995</v>
      </c>
      <c r="AG4" s="91">
        <f>(AF4/$AF$14)*100</f>
        <v>4.0772834041945751</v>
      </c>
      <c r="AH4" s="124">
        <v>510742</v>
      </c>
      <c r="AI4" s="91">
        <f>(AH4/$AH$14)*100</f>
        <v>3.4295852644847606</v>
      </c>
      <c r="AJ4" s="124">
        <v>609156</v>
      </c>
      <c r="AK4" s="91">
        <f t="shared" si="0"/>
        <v>1.5429110842385187</v>
      </c>
      <c r="AL4" s="124">
        <v>502486</v>
      </c>
      <c r="AM4" s="91">
        <f t="shared" si="1"/>
        <v>1.1761741441631757</v>
      </c>
    </row>
    <row r="5" spans="1:39" x14ac:dyDescent="0.25">
      <c r="A5" s="95" t="s">
        <v>327</v>
      </c>
      <c r="B5" s="94">
        <v>1394294</v>
      </c>
      <c r="C5" s="93">
        <f>(B5/$B$14)*100</f>
        <v>26.218666462076325</v>
      </c>
      <c r="D5" s="94">
        <f>1495788+150887</f>
        <v>1646675</v>
      </c>
      <c r="E5" s="93">
        <f>(D5/$D$14)*100</f>
        <v>21.770541591924456</v>
      </c>
      <c r="F5" s="94">
        <f>1712209+262884</f>
        <v>1975093</v>
      </c>
      <c r="G5" s="93">
        <f>(F5/$D$14)*100</f>
        <v>26.112526336052255</v>
      </c>
      <c r="H5" s="125">
        <v>1885784</v>
      </c>
      <c r="I5" s="93">
        <f>(H5/$H$14)*100</f>
        <v>25.386946222512051</v>
      </c>
      <c r="J5" s="124">
        <v>1869609</v>
      </c>
      <c r="K5" s="91">
        <f>(J5/$J$14)*100</f>
        <v>22.514399283531102</v>
      </c>
      <c r="L5" s="124">
        <v>2074408</v>
      </c>
      <c r="M5" s="91">
        <f>(L5/$L$14)*100</f>
        <v>22.999393640576876</v>
      </c>
      <c r="N5" s="124">
        <v>1874367</v>
      </c>
      <c r="O5" s="91">
        <f>(N5/$N$14)*100</f>
        <v>24.632509966065307</v>
      </c>
      <c r="P5" s="124">
        <f>1820014+113000+6000+3000</f>
        <v>1942014</v>
      </c>
      <c r="Q5" s="91">
        <f>(P5/$P$14)*100</f>
        <v>23.45841741621528</v>
      </c>
      <c r="R5" s="124">
        <f>1861624+230600+242000</f>
        <v>2334224</v>
      </c>
      <c r="S5" s="91">
        <f>(R5/$R$14)*100</f>
        <v>24.072565529311003</v>
      </c>
      <c r="T5" s="124">
        <f>1987183+273550+20000</f>
        <v>2280733</v>
      </c>
      <c r="U5" s="91">
        <f>(T5/$T$14)*100</f>
        <v>33.476261363226051</v>
      </c>
      <c r="V5" s="124">
        <v>2620033</v>
      </c>
      <c r="W5" s="91">
        <f>(V5/$V$14)*100</f>
        <v>33.22204089809965</v>
      </c>
      <c r="X5" s="124">
        <v>2943633</v>
      </c>
      <c r="Y5" s="91">
        <f>(X5/$X$14)*100</f>
        <v>31.47429702738242</v>
      </c>
      <c r="Z5" s="124">
        <v>3169508</v>
      </c>
      <c r="AA5" s="91">
        <f>(Z5/$Z$14)*100</f>
        <v>30.818089623581734</v>
      </c>
      <c r="AB5" s="124">
        <v>3473523</v>
      </c>
      <c r="AC5" s="91">
        <f>(AB5/$AB$14)*100</f>
        <v>32.198335986924604</v>
      </c>
      <c r="AD5" s="124">
        <v>3368260</v>
      </c>
      <c r="AE5" s="91">
        <f>(AD5/$AD$14)*100</f>
        <v>34.151957177887141</v>
      </c>
      <c r="AF5" s="124">
        <v>3982397</v>
      </c>
      <c r="AG5" s="91">
        <f>(AF5/$AF$14)*100</f>
        <v>33.205577147034766</v>
      </c>
      <c r="AH5" s="124">
        <v>4672832</v>
      </c>
      <c r="AI5" s="91">
        <f>(AH5/$AH$14)*100</f>
        <v>31.377634442855403</v>
      </c>
      <c r="AJ5" s="226">
        <f>28077007-23976740+605482</f>
        <v>4705749</v>
      </c>
      <c r="AK5" s="91">
        <f t="shared" si="0"/>
        <v>11.91903599692743</v>
      </c>
      <c r="AL5" s="226">
        <v>5146132</v>
      </c>
      <c r="AM5" s="91">
        <f t="shared" si="1"/>
        <v>12.045604058323478</v>
      </c>
    </row>
    <row r="6" spans="1:39" x14ac:dyDescent="0.25">
      <c r="A6" s="95" t="s">
        <v>328</v>
      </c>
      <c r="B6" s="94"/>
      <c r="C6" s="93"/>
      <c r="D6" s="94"/>
      <c r="E6" s="93"/>
      <c r="F6" s="94"/>
      <c r="G6" s="93"/>
      <c r="H6" s="125"/>
      <c r="I6" s="93"/>
      <c r="J6" s="124"/>
      <c r="K6" s="91"/>
      <c r="L6" s="124"/>
      <c r="M6" s="91"/>
      <c r="N6" s="124"/>
      <c r="O6" s="91"/>
      <c r="P6" s="124"/>
      <c r="Q6" s="91"/>
      <c r="R6" s="124"/>
      <c r="S6" s="91"/>
      <c r="T6" s="124"/>
      <c r="U6" s="91"/>
      <c r="V6" s="124"/>
      <c r="W6" s="91"/>
      <c r="X6" s="124"/>
      <c r="Y6" s="91"/>
      <c r="Z6" s="124"/>
      <c r="AA6" s="91"/>
      <c r="AB6" s="124"/>
      <c r="AC6" s="91"/>
      <c r="AD6" s="124"/>
      <c r="AE6" s="91"/>
      <c r="AF6" s="124"/>
      <c r="AG6" s="91"/>
      <c r="AH6" s="124"/>
      <c r="AI6" s="91"/>
      <c r="AJ6" s="226">
        <v>23976740</v>
      </c>
      <c r="AK6" s="91">
        <f t="shared" si="0"/>
        <v>60.729891702462204</v>
      </c>
      <c r="AL6" s="226">
        <v>25691957</v>
      </c>
      <c r="AM6" s="91">
        <f t="shared" si="1"/>
        <v>60.137427781773248</v>
      </c>
    </row>
    <row r="7" spans="1:39" x14ac:dyDescent="0.25">
      <c r="A7" s="99" t="s">
        <v>131</v>
      </c>
      <c r="B7" s="94">
        <v>1799286</v>
      </c>
      <c r="C7" s="93">
        <f>(B7/$B$14)*100</f>
        <v>33.834241202991237</v>
      </c>
      <c r="D7" s="94">
        <f>1694248+56311</f>
        <v>1750559</v>
      </c>
      <c r="E7" s="93">
        <f>(D7/$D$14)*100</f>
        <v>23.143982582244636</v>
      </c>
      <c r="F7" s="94">
        <f>1777470+153597</f>
        <v>1931067</v>
      </c>
      <c r="G7" s="93">
        <f>(F7/$D$14)*100</f>
        <v>25.530462562614233</v>
      </c>
      <c r="H7" s="125">
        <v>1988860</v>
      </c>
      <c r="I7" s="93">
        <f t="shared" ref="I7:I12" si="2">(H7/$H$14)*100</f>
        <v>26.774583867561354</v>
      </c>
      <c r="J7" s="124">
        <v>1979289</v>
      </c>
      <c r="K7" s="91">
        <f t="shared" ref="K7:K12" si="3">(J7/$J$14)*100</f>
        <v>23.835199147790256</v>
      </c>
      <c r="L7" s="124">
        <v>2074003</v>
      </c>
      <c r="M7" s="91">
        <f t="shared" ref="M7:M12" si="4">(L7/$L$14)*100</f>
        <v>22.994903321206515</v>
      </c>
      <c r="N7" s="124">
        <v>2033921</v>
      </c>
      <c r="O7" s="91">
        <f t="shared" ref="O7:O12" si="5">(N7/$N$14)*100</f>
        <v>26.729332784182347</v>
      </c>
      <c r="P7" s="124">
        <v>1941642</v>
      </c>
      <c r="Q7" s="91">
        <f t="shared" ref="Q7:Q12" si="6">(P7/$P$14)*100</f>
        <v>23.453923869166271</v>
      </c>
      <c r="R7" s="124">
        <v>1959543</v>
      </c>
      <c r="S7" s="91">
        <f t="shared" ref="S7:S12" si="7">(R7/$R$14)*100</f>
        <v>20.208526377503901</v>
      </c>
      <c r="T7" s="124">
        <v>2082143</v>
      </c>
      <c r="U7" s="91">
        <f t="shared" ref="U7:U12" si="8">(T7/$T$14)*100</f>
        <v>30.561386739969816</v>
      </c>
      <c r="V7" s="124">
        <v>2161804</v>
      </c>
      <c r="W7" s="91">
        <f t="shared" ref="W7:W12" si="9">(V7/$V$14)*100</f>
        <v>27.411693250304637</v>
      </c>
      <c r="X7" s="124">
        <v>2478254</v>
      </c>
      <c r="Y7" s="91">
        <f t="shared" ref="Y7:Y12" si="10">(X7/$X$14)*100</f>
        <v>26.498310932544438</v>
      </c>
      <c r="Z7" s="124">
        <v>2746121</v>
      </c>
      <c r="AA7" s="91">
        <f t="shared" ref="AA7:AA12" si="11">(Z7/$Z$14)*100</f>
        <v>26.701369138427761</v>
      </c>
      <c r="AB7" s="124">
        <v>2862200</v>
      </c>
      <c r="AC7" s="91">
        <f t="shared" ref="AC7:AC12" si="12">(AB7/$AB$14)*100</f>
        <v>26.53158688218722</v>
      </c>
      <c r="AD7" s="124">
        <v>2521387</v>
      </c>
      <c r="AE7" s="91">
        <f t="shared" ref="AE7:AE12" si="13">(AD7/$AD$14)*100</f>
        <v>25.565217902680114</v>
      </c>
      <c r="AF7" s="124">
        <v>2841721</v>
      </c>
      <c r="AG7" s="91">
        <f t="shared" ref="AG7:AG12" si="14">(AF7/$AF$14)*100</f>
        <v>23.694520133439429</v>
      </c>
      <c r="AH7" s="124">
        <v>3634192</v>
      </c>
      <c r="AI7" s="91">
        <f t="shared" ref="AI7:AI12" si="15">(AH7/$AH$14)*100</f>
        <v>24.403262961550844</v>
      </c>
      <c r="AJ7" s="124">
        <v>3520624</v>
      </c>
      <c r="AK7" s="91">
        <f t="shared" si="0"/>
        <v>8.9172720830725645</v>
      </c>
      <c r="AL7" s="124">
        <v>3449933</v>
      </c>
      <c r="AM7" s="91">
        <f t="shared" si="1"/>
        <v>8.0752936274747888</v>
      </c>
    </row>
    <row r="8" spans="1:39" ht="31.5" x14ac:dyDescent="0.25">
      <c r="A8" s="99" t="s">
        <v>122</v>
      </c>
      <c r="B8" s="94"/>
      <c r="C8" s="93"/>
      <c r="D8" s="94"/>
      <c r="E8" s="93"/>
      <c r="F8" s="94"/>
      <c r="G8" s="93"/>
      <c r="H8" s="125">
        <v>40000</v>
      </c>
      <c r="I8" s="93">
        <f t="shared" si="2"/>
        <v>0.53849107262575246</v>
      </c>
      <c r="J8" s="124">
        <v>70000</v>
      </c>
      <c r="K8" s="91">
        <f t="shared" si="3"/>
        <v>0.84296125545350775</v>
      </c>
      <c r="L8" s="124">
        <v>50000</v>
      </c>
      <c r="M8" s="91">
        <f t="shared" si="4"/>
        <v>0.55436041609405851</v>
      </c>
      <c r="N8" s="124">
        <v>50000</v>
      </c>
      <c r="O8" s="91">
        <f t="shared" si="5"/>
        <v>0.65708876559567331</v>
      </c>
      <c r="P8" s="124">
        <v>90000</v>
      </c>
      <c r="Q8" s="91">
        <f t="shared" si="6"/>
        <v>1.0871484795986925</v>
      </c>
      <c r="R8" s="124">
        <v>70000</v>
      </c>
      <c r="S8" s="91">
        <f t="shared" si="7"/>
        <v>0.72190140579985906</v>
      </c>
      <c r="T8" s="124">
        <v>70000</v>
      </c>
      <c r="U8" s="91">
        <f t="shared" si="8"/>
        <v>1.0274496380882039</v>
      </c>
      <c r="V8" s="124">
        <v>165800</v>
      </c>
      <c r="W8" s="91">
        <f t="shared" si="9"/>
        <v>2.1023454211855048</v>
      </c>
      <c r="X8" s="124">
        <v>236950</v>
      </c>
      <c r="Y8" s="91">
        <f t="shared" si="10"/>
        <v>2.5335477216889006</v>
      </c>
      <c r="Z8" s="124">
        <v>223958</v>
      </c>
      <c r="AA8" s="91">
        <f t="shared" si="11"/>
        <v>2.1776117037464862</v>
      </c>
      <c r="AB8" s="124">
        <v>267428</v>
      </c>
      <c r="AC8" s="91">
        <f t="shared" si="12"/>
        <v>2.4789634605302089</v>
      </c>
      <c r="AD8" s="124">
        <v>150994</v>
      </c>
      <c r="AE8" s="91">
        <f t="shared" si="13"/>
        <v>1.5309805721998571</v>
      </c>
      <c r="AF8" s="124">
        <v>179892</v>
      </c>
      <c r="AG8" s="91">
        <f t="shared" si="14"/>
        <v>1.499955349538074</v>
      </c>
      <c r="AH8" s="124">
        <v>232505</v>
      </c>
      <c r="AI8" s="91">
        <f t="shared" si="15"/>
        <v>1.5612495583269621</v>
      </c>
      <c r="AJ8" s="124">
        <v>321927</v>
      </c>
      <c r="AK8" s="91">
        <f t="shared" si="0"/>
        <v>0.81539825039177749</v>
      </c>
      <c r="AL8" s="124">
        <v>262082</v>
      </c>
      <c r="AM8" s="91">
        <f t="shared" si="1"/>
        <v>0.61345803077214767</v>
      </c>
    </row>
    <row r="9" spans="1:39" x14ac:dyDescent="0.25">
      <c r="A9" s="95" t="s">
        <v>121</v>
      </c>
      <c r="B9" s="94">
        <v>625731</v>
      </c>
      <c r="C9" s="93">
        <f>(B9/$B$14)*100</f>
        <v>11.76640822092147</v>
      </c>
      <c r="D9" s="94">
        <v>630375</v>
      </c>
      <c r="E9" s="93">
        <f>(D9/$D$14)*100</f>
        <v>8.3341309948893265</v>
      </c>
      <c r="F9" s="94">
        <v>716272</v>
      </c>
      <c r="G9" s="93">
        <f>(F9/$D$14)*100</f>
        <v>9.4697674812157313</v>
      </c>
      <c r="H9" s="125">
        <v>579775</v>
      </c>
      <c r="I9" s="93">
        <f t="shared" si="2"/>
        <v>7.8050915407898911</v>
      </c>
      <c r="J9" s="124">
        <v>756498</v>
      </c>
      <c r="K9" s="91">
        <f t="shared" si="3"/>
        <v>9.1099786261152538</v>
      </c>
      <c r="L9" s="124">
        <v>587036</v>
      </c>
      <c r="M9" s="91">
        <f t="shared" si="4"/>
        <v>6.5085904244438346</v>
      </c>
      <c r="N9" s="124">
        <v>506722</v>
      </c>
      <c r="O9" s="91">
        <f t="shared" si="5"/>
        <v>6.6592266696034157</v>
      </c>
      <c r="P9" s="124">
        <v>183261</v>
      </c>
      <c r="Q9" s="91">
        <f t="shared" si="6"/>
        <v>2.2136879724415111</v>
      </c>
      <c r="R9" s="124">
        <v>156739</v>
      </c>
      <c r="S9" s="91">
        <f t="shared" si="7"/>
        <v>1.6164300634809157</v>
      </c>
      <c r="T9" s="124">
        <v>441415</v>
      </c>
      <c r="U9" s="91">
        <f t="shared" si="8"/>
        <v>6.4790240285243508</v>
      </c>
      <c r="V9" s="124">
        <v>623094</v>
      </c>
      <c r="W9" s="91">
        <f t="shared" si="9"/>
        <v>7.9008372609659885</v>
      </c>
      <c r="X9" s="124">
        <v>759267</v>
      </c>
      <c r="Y9" s="91">
        <f t="shared" si="10"/>
        <v>8.1183337328700844</v>
      </c>
      <c r="Z9" s="124">
        <v>1148153</v>
      </c>
      <c r="AA9" s="91">
        <f t="shared" si="11"/>
        <v>11.163840588376567</v>
      </c>
      <c r="AB9" s="124">
        <v>1212471</v>
      </c>
      <c r="AC9" s="91">
        <f t="shared" si="12"/>
        <v>11.239179539736014</v>
      </c>
      <c r="AD9" s="124">
        <v>1501472</v>
      </c>
      <c r="AE9" s="91">
        <f t="shared" si="13"/>
        <v>15.223945730969865</v>
      </c>
      <c r="AF9" s="124">
        <v>2293028</v>
      </c>
      <c r="AG9" s="91">
        <f t="shared" si="14"/>
        <v>19.11946954417423</v>
      </c>
      <c r="AH9" s="124">
        <v>2775440</v>
      </c>
      <c r="AI9" s="91">
        <f t="shared" si="15"/>
        <v>18.636822752899867</v>
      </c>
      <c r="AJ9" s="124">
        <v>2983578</v>
      </c>
      <c r="AK9" s="91">
        <f t="shared" si="0"/>
        <v>7.557006032757112</v>
      </c>
      <c r="AL9" s="124">
        <v>2793299</v>
      </c>
      <c r="AM9" s="91">
        <f t="shared" si="1"/>
        <v>6.5383036755588302</v>
      </c>
    </row>
    <row r="10" spans="1:39" x14ac:dyDescent="0.25">
      <c r="A10" s="82" t="s">
        <v>120</v>
      </c>
      <c r="B10" s="81">
        <v>385294</v>
      </c>
      <c r="C10" s="93">
        <f>(B10/$B$14)*100</f>
        <v>7.245168433514908</v>
      </c>
      <c r="D10" s="81">
        <v>2490523</v>
      </c>
      <c r="E10" s="93">
        <f>(D10/$D$14)*100</f>
        <v>32.926979857679548</v>
      </c>
      <c r="F10" s="81">
        <v>2137285</v>
      </c>
      <c r="G10" s="93">
        <f>(F10/$D$14)*100</f>
        <v>28.256852133114464</v>
      </c>
      <c r="H10" s="127">
        <v>2314492</v>
      </c>
      <c r="I10" s="93">
        <f t="shared" si="2"/>
        <v>31.15833199159308</v>
      </c>
      <c r="J10" s="126">
        <v>2908422</v>
      </c>
      <c r="K10" s="91">
        <f t="shared" si="3"/>
        <v>35.024100864408595</v>
      </c>
      <c r="L10" s="126">
        <v>3580869</v>
      </c>
      <c r="M10" s="91">
        <f t="shared" si="4"/>
        <v>39.701840576366308</v>
      </c>
      <c r="N10" s="126">
        <v>2533958</v>
      </c>
      <c r="O10" s="91">
        <f t="shared" si="5"/>
        <v>33.300706685825624</v>
      </c>
      <c r="P10" s="126">
        <v>3467778</v>
      </c>
      <c r="Q10" s="91">
        <f t="shared" si="6"/>
        <v>41.888773114286607</v>
      </c>
      <c r="R10" s="126">
        <v>4488479</v>
      </c>
      <c r="S10" s="91">
        <f t="shared" si="7"/>
        <v>46.289132857187795</v>
      </c>
      <c r="T10" s="124">
        <v>1166086</v>
      </c>
      <c r="U10" s="91">
        <f t="shared" si="8"/>
        <v>17.115637695424589</v>
      </c>
      <c r="V10" s="124">
        <v>1548285</v>
      </c>
      <c r="W10" s="91">
        <f t="shared" si="9"/>
        <v>19.632267071412539</v>
      </c>
      <c r="X10" s="124">
        <v>2092965</v>
      </c>
      <c r="Y10" s="91">
        <f t="shared" si="10"/>
        <v>22.378673590734795</v>
      </c>
      <c r="Z10" s="124">
        <v>2105260</v>
      </c>
      <c r="AA10" s="91">
        <f t="shared" si="11"/>
        <v>20.470082852272871</v>
      </c>
      <c r="AB10" s="124">
        <v>2008967</v>
      </c>
      <c r="AC10" s="91">
        <f t="shared" si="12"/>
        <v>18.6224171979411</v>
      </c>
      <c r="AD10" s="124">
        <v>1388913</v>
      </c>
      <c r="AE10" s="91">
        <f t="shared" si="13"/>
        <v>14.082670963586766</v>
      </c>
      <c r="AF10" s="124">
        <v>1510400</v>
      </c>
      <c r="AG10" s="91">
        <f t="shared" si="14"/>
        <v>12.593848308664683</v>
      </c>
      <c r="AH10" s="124">
        <v>2295092</v>
      </c>
      <c r="AI10" s="91">
        <f t="shared" si="15"/>
        <v>15.411330385668023</v>
      </c>
      <c r="AJ10" s="124">
        <v>2542295</v>
      </c>
      <c r="AK10" s="91">
        <f t="shared" si="0"/>
        <v>6.4392949177290628</v>
      </c>
      <c r="AL10" s="124">
        <v>4046977</v>
      </c>
      <c r="AM10" s="91">
        <f t="shared" si="1"/>
        <v>9.4728006539944509</v>
      </c>
    </row>
    <row r="11" spans="1:39" hidden="1" x14ac:dyDescent="0.25">
      <c r="A11" s="82" t="s">
        <v>119</v>
      </c>
      <c r="B11" s="81">
        <v>646760</v>
      </c>
      <c r="C11" s="93">
        <f>(B11/$B$14)*100</f>
        <v>12.161842997970645</v>
      </c>
      <c r="D11" s="81">
        <v>485340</v>
      </c>
      <c r="E11" s="93">
        <f>(D11/$D$14)*100</f>
        <v>6.4166363467135987</v>
      </c>
      <c r="F11" s="81">
        <v>221336</v>
      </c>
      <c r="G11" s="93">
        <f>(F11/$D$14)*100</f>
        <v>2.9262632843701351</v>
      </c>
      <c r="H11" s="127">
        <v>20036</v>
      </c>
      <c r="I11" s="93">
        <f t="shared" si="2"/>
        <v>0.26973017827823942</v>
      </c>
      <c r="J11" s="126">
        <v>11067</v>
      </c>
      <c r="K11" s="91">
        <f t="shared" si="3"/>
        <v>0.13327217448719958</v>
      </c>
      <c r="L11" s="126"/>
      <c r="M11" s="91">
        <f t="shared" si="4"/>
        <v>0</v>
      </c>
      <c r="N11" s="126"/>
      <c r="O11" s="91">
        <f t="shared" si="5"/>
        <v>0</v>
      </c>
      <c r="P11" s="126"/>
      <c r="Q11" s="91">
        <f t="shared" si="6"/>
        <v>0</v>
      </c>
      <c r="R11" s="126"/>
      <c r="S11" s="91">
        <f t="shared" si="7"/>
        <v>0</v>
      </c>
      <c r="T11" s="126"/>
      <c r="U11" s="91">
        <f t="shared" si="8"/>
        <v>0</v>
      </c>
      <c r="V11" s="126"/>
      <c r="W11" s="91">
        <f t="shared" si="9"/>
        <v>0</v>
      </c>
      <c r="X11" s="126"/>
      <c r="Y11" s="91">
        <f t="shared" si="10"/>
        <v>0</v>
      </c>
      <c r="Z11" s="126"/>
      <c r="AA11" s="91">
        <f t="shared" si="11"/>
        <v>0</v>
      </c>
      <c r="AB11" s="126"/>
      <c r="AC11" s="91">
        <f t="shared" si="12"/>
        <v>0</v>
      </c>
      <c r="AD11" s="126"/>
      <c r="AE11" s="91">
        <f t="shared" si="13"/>
        <v>0</v>
      </c>
      <c r="AF11" s="126"/>
      <c r="AG11" s="91">
        <f t="shared" si="14"/>
        <v>0</v>
      </c>
      <c r="AH11" s="126"/>
      <c r="AI11" s="91">
        <f t="shared" si="15"/>
        <v>0</v>
      </c>
      <c r="AJ11" s="126"/>
      <c r="AK11" s="91">
        <f t="shared" si="0"/>
        <v>0</v>
      </c>
      <c r="AL11" s="126"/>
      <c r="AM11" s="91">
        <f t="shared" si="1"/>
        <v>0</v>
      </c>
    </row>
    <row r="12" spans="1:39" x14ac:dyDescent="0.25">
      <c r="A12" s="95" t="s">
        <v>118</v>
      </c>
      <c r="B12" s="94">
        <v>107515</v>
      </c>
      <c r="C12" s="93">
        <f>(B12/$B$14)*100</f>
        <v>2.0217399807143512</v>
      </c>
      <c r="D12" s="94">
        <v>50282</v>
      </c>
      <c r="E12" s="93">
        <f>(D12/$D$14)*100</f>
        <v>0.66477378494550865</v>
      </c>
      <c r="F12" s="94">
        <v>8316</v>
      </c>
      <c r="G12" s="93">
        <f>(F12/$D$14)*100</f>
        <v>0.10994508562918838</v>
      </c>
      <c r="H12" s="125">
        <v>8026</v>
      </c>
      <c r="I12" s="93">
        <f t="shared" si="2"/>
        <v>0.10804823372235724</v>
      </c>
      <c r="J12" s="124">
        <v>8025</v>
      </c>
      <c r="K12" s="91">
        <f t="shared" si="3"/>
        <v>9.6639486785919992E-2</v>
      </c>
      <c r="L12" s="124">
        <v>8323</v>
      </c>
      <c r="M12" s="91">
        <f t="shared" si="4"/>
        <v>9.2278834863016995E-2</v>
      </c>
      <c r="N12" s="124">
        <v>8131</v>
      </c>
      <c r="O12" s="91">
        <f t="shared" si="5"/>
        <v>0.10685577506116839</v>
      </c>
      <c r="P12" s="124">
        <v>0</v>
      </c>
      <c r="Q12" s="91">
        <f t="shared" si="6"/>
        <v>0</v>
      </c>
      <c r="R12" s="124"/>
      <c r="S12" s="91">
        <f t="shared" si="7"/>
        <v>0</v>
      </c>
      <c r="T12" s="124"/>
      <c r="U12" s="91">
        <f t="shared" si="8"/>
        <v>0</v>
      </c>
      <c r="V12" s="124"/>
      <c r="W12" s="91">
        <f t="shared" si="9"/>
        <v>0</v>
      </c>
      <c r="X12" s="124"/>
      <c r="Y12" s="91">
        <f t="shared" si="10"/>
        <v>0</v>
      </c>
      <c r="Z12" s="124"/>
      <c r="AA12" s="91">
        <f t="shared" si="11"/>
        <v>0</v>
      </c>
      <c r="AB12" s="124"/>
      <c r="AC12" s="91">
        <f t="shared" si="12"/>
        <v>0</v>
      </c>
      <c r="AD12" s="124"/>
      <c r="AE12" s="91">
        <f t="shared" si="13"/>
        <v>0</v>
      </c>
      <c r="AF12" s="124"/>
      <c r="AG12" s="91">
        <f t="shared" si="14"/>
        <v>0</v>
      </c>
      <c r="AH12" s="124"/>
      <c r="AI12" s="91">
        <f t="shared" si="15"/>
        <v>0</v>
      </c>
      <c r="AJ12" s="124"/>
      <c r="AK12" s="91">
        <f t="shared" si="0"/>
        <v>0</v>
      </c>
      <c r="AL12" s="124"/>
      <c r="AM12" s="91">
        <f t="shared" si="1"/>
        <v>0</v>
      </c>
    </row>
    <row r="13" spans="1:39" x14ac:dyDescent="0.25">
      <c r="B13" s="44"/>
      <c r="D13" s="44"/>
      <c r="F13" s="44"/>
      <c r="H13" s="123"/>
      <c r="J13" s="123"/>
      <c r="L13" s="123"/>
      <c r="N13" s="123"/>
      <c r="P13" s="123"/>
      <c r="R13" s="123"/>
      <c r="T13" s="123"/>
      <c r="V13" s="123"/>
      <c r="X13" s="123"/>
      <c r="Z13" s="123"/>
      <c r="AB13" s="123"/>
      <c r="AD13" s="123"/>
      <c r="AF13" s="123"/>
      <c r="AH13" s="123"/>
      <c r="AJ13" s="123"/>
      <c r="AL13" s="123"/>
    </row>
    <row r="14" spans="1:39" x14ac:dyDescent="0.25">
      <c r="A14" s="89" t="s">
        <v>94</v>
      </c>
      <c r="B14" s="122">
        <f>SUM(B2:B13)</f>
        <v>5317944</v>
      </c>
      <c r="C14" s="87">
        <f>SUM(C2:C12)</f>
        <v>100.00000000000003</v>
      </c>
      <c r="D14" s="122">
        <f>SUM(D2:D13)</f>
        <v>7563776</v>
      </c>
      <c r="E14" s="87">
        <f>SUM(E2:E12)</f>
        <v>100</v>
      </c>
      <c r="F14" s="122">
        <f>SUM(F2:F13)</f>
        <v>7540749</v>
      </c>
      <c r="G14" s="87">
        <f>SUM(G2:G12)</f>
        <v>99.695562110776422</v>
      </c>
      <c r="H14" s="121">
        <f>SUM(H2:H13)</f>
        <v>7428164</v>
      </c>
      <c r="I14" s="87">
        <f>SUM(I2:I12)</f>
        <v>100</v>
      </c>
      <c r="J14" s="120">
        <f>SUM(J2:J13)</f>
        <v>8304059</v>
      </c>
      <c r="K14" s="85">
        <f>SUM(K2:K12)</f>
        <v>100</v>
      </c>
      <c r="L14" s="120">
        <f>SUM(L2:L13)</f>
        <v>9019403</v>
      </c>
      <c r="M14" s="85">
        <f>SUM(M2:M12)</f>
        <v>100</v>
      </c>
      <c r="N14" s="120">
        <f>SUM(N2:N13)</f>
        <v>7609322</v>
      </c>
      <c r="O14" s="85">
        <f>SUM(O2:O12)</f>
        <v>99.999999999999986</v>
      </c>
      <c r="P14" s="120">
        <f>SUM(P2:P13)</f>
        <v>8278538</v>
      </c>
      <c r="Q14" s="85">
        <f>SUM(Q2:Q12)</f>
        <v>100</v>
      </c>
      <c r="R14" s="120">
        <f>SUM(R2:R13)</f>
        <v>9696615</v>
      </c>
      <c r="S14" s="85">
        <f>SUM(S2:S12)</f>
        <v>100</v>
      </c>
      <c r="T14" s="120">
        <f>SUM(T2:T13)</f>
        <v>6812986</v>
      </c>
      <c r="U14" s="85">
        <f>SUM(U2:U12)</f>
        <v>100</v>
      </c>
      <c r="V14" s="120">
        <f>SUM(V2:V13)</f>
        <v>7886430</v>
      </c>
      <c r="W14" s="85">
        <f>SUM(W2:W12)</f>
        <v>100</v>
      </c>
      <c r="X14" s="120">
        <f>SUM(X2:X13)</f>
        <v>9352498</v>
      </c>
      <c r="Y14" s="85">
        <f>SUM(Y2:Y12)</f>
        <v>100</v>
      </c>
      <c r="Z14" s="120">
        <f>SUM(Z2:Z13)</f>
        <v>10284570</v>
      </c>
      <c r="AA14" s="85">
        <f>SUM(AA2:AA12)</f>
        <v>100.00000000000001</v>
      </c>
      <c r="AB14" s="120">
        <f>SUM(AB2:AB13)</f>
        <v>10787896</v>
      </c>
      <c r="AC14" s="85">
        <f>SUM(AC2:AC12)</f>
        <v>100</v>
      </c>
      <c r="AD14" s="120">
        <f>SUM(AD2:AD13)</f>
        <v>9862568</v>
      </c>
      <c r="AE14" s="85">
        <f>SUM(AE2:AE12)</f>
        <v>99.999999999999986</v>
      </c>
      <c r="AF14" s="120">
        <f>SUM(AF2:AF13)</f>
        <v>11993157</v>
      </c>
      <c r="AG14" s="85">
        <f>SUM(AG2:AG12)</f>
        <v>100</v>
      </c>
      <c r="AH14" s="120">
        <f>SUM(AH2:AH13)</f>
        <v>14892238</v>
      </c>
      <c r="AI14" s="85">
        <f>SUM(AI2:AI12)</f>
        <v>100.00000000000001</v>
      </c>
      <c r="AJ14" s="120">
        <f>SUM(AJ2:AJ13)</f>
        <v>39480953</v>
      </c>
      <c r="AK14" s="85">
        <f>SUM(AK2:AK12)</f>
        <v>100</v>
      </c>
      <c r="AL14" s="120">
        <f>SUM(AL2:AL13)</f>
        <v>42722075</v>
      </c>
      <c r="AM14" s="85">
        <f>SUM(AM2:AM12)</f>
        <v>100.00000000000003</v>
      </c>
    </row>
    <row r="15" spans="1:39" x14ac:dyDescent="0.25">
      <c r="AL15" s="103"/>
    </row>
    <row r="16" spans="1:39" x14ac:dyDescent="0.25">
      <c r="AL16" s="103"/>
    </row>
    <row r="17" spans="1:39" x14ac:dyDescent="0.25">
      <c r="AL17" s="103"/>
    </row>
    <row r="18" spans="1:39" x14ac:dyDescent="0.25">
      <c r="AL18" s="103"/>
    </row>
    <row r="19" spans="1:39" x14ac:dyDescent="0.25">
      <c r="A19" s="119" t="s">
        <v>117</v>
      </c>
      <c r="B19" s="119">
        <v>2008</v>
      </c>
      <c r="F19" s="119">
        <v>2009</v>
      </c>
      <c r="H19" s="118" t="s">
        <v>82</v>
      </c>
      <c r="J19" s="118" t="s">
        <v>81</v>
      </c>
      <c r="L19" s="118" t="s">
        <v>80</v>
      </c>
      <c r="N19" s="118" t="s">
        <v>79</v>
      </c>
      <c r="P19" s="118" t="s">
        <v>78</v>
      </c>
      <c r="R19" s="118" t="s">
        <v>77</v>
      </c>
      <c r="T19" s="118" t="s">
        <v>76</v>
      </c>
      <c r="V19" s="118" t="s">
        <v>75</v>
      </c>
      <c r="X19" s="118" t="s">
        <v>74</v>
      </c>
      <c r="Z19" s="118" t="s">
        <v>36</v>
      </c>
      <c r="AB19" s="118" t="s">
        <v>48</v>
      </c>
      <c r="AD19" s="118" t="s">
        <v>193</v>
      </c>
      <c r="AF19" s="118" t="s">
        <v>213</v>
      </c>
      <c r="AH19" s="118" t="s">
        <v>172</v>
      </c>
      <c r="AJ19" s="118" t="s">
        <v>184</v>
      </c>
      <c r="AL19" s="118" t="s">
        <v>202</v>
      </c>
    </row>
    <row r="20" spans="1:39" x14ac:dyDescent="0.25">
      <c r="A20" s="117" t="s">
        <v>116</v>
      </c>
      <c r="B20" s="116">
        <f>SUM(B21:B32)</f>
        <v>2488723</v>
      </c>
      <c r="C20" s="93">
        <f>SUM(C21:C32)</f>
        <v>100</v>
      </c>
      <c r="D20" s="64">
        <f>SUM(D21:D32)</f>
        <v>99.92</v>
      </c>
      <c r="F20" s="116">
        <f t="shared" ref="F20:W20" si="16">SUM(F21:F32)</f>
        <v>2133899</v>
      </c>
      <c r="G20" s="93">
        <f t="shared" si="16"/>
        <v>100</v>
      </c>
      <c r="H20" s="115">
        <f t="shared" si="16"/>
        <v>2296492</v>
      </c>
      <c r="I20" s="93">
        <f t="shared" si="16"/>
        <v>99.999999999999986</v>
      </c>
      <c r="J20" s="114">
        <f t="shared" si="16"/>
        <v>2908422</v>
      </c>
      <c r="K20" s="91">
        <f t="shared" si="16"/>
        <v>100.00000000000003</v>
      </c>
      <c r="L20" s="114">
        <f t="shared" si="16"/>
        <v>3580869</v>
      </c>
      <c r="M20" s="91">
        <f t="shared" si="16"/>
        <v>100</v>
      </c>
      <c r="N20" s="114">
        <f t="shared" si="16"/>
        <v>2533958</v>
      </c>
      <c r="O20" s="91">
        <f t="shared" si="16"/>
        <v>100</v>
      </c>
      <c r="P20" s="114">
        <f t="shared" si="16"/>
        <v>3467778</v>
      </c>
      <c r="Q20" s="91">
        <f t="shared" si="16"/>
        <v>100</v>
      </c>
      <c r="R20" s="114">
        <f t="shared" si="16"/>
        <v>4488479</v>
      </c>
      <c r="S20" s="91">
        <f t="shared" si="16"/>
        <v>100</v>
      </c>
      <c r="T20" s="114">
        <f t="shared" si="16"/>
        <v>1166086</v>
      </c>
      <c r="U20" s="91">
        <f t="shared" si="16"/>
        <v>99.999999999999986</v>
      </c>
      <c r="V20" s="114">
        <f t="shared" si="16"/>
        <v>1548285</v>
      </c>
      <c r="W20" s="91">
        <f t="shared" si="16"/>
        <v>100.00000000000001</v>
      </c>
      <c r="X20" s="114">
        <f t="shared" ref="X20:AM20" si="17">SUM(X21:X33)</f>
        <v>2092965</v>
      </c>
      <c r="Y20" s="91">
        <f t="shared" si="17"/>
        <v>100</v>
      </c>
      <c r="Z20" s="114">
        <f t="shared" si="17"/>
        <v>2105260</v>
      </c>
      <c r="AA20" s="91">
        <f t="shared" si="17"/>
        <v>100</v>
      </c>
      <c r="AB20" s="114">
        <f t="shared" si="17"/>
        <v>2008967</v>
      </c>
      <c r="AC20" s="91">
        <f t="shared" si="17"/>
        <v>99.999999999999986</v>
      </c>
      <c r="AD20" s="114">
        <f t="shared" si="17"/>
        <v>1388913</v>
      </c>
      <c r="AE20" s="91">
        <f t="shared" si="17"/>
        <v>99.999999999999986</v>
      </c>
      <c r="AF20" s="114">
        <f t="shared" si="17"/>
        <v>1510400</v>
      </c>
      <c r="AG20" s="91">
        <f t="shared" si="17"/>
        <v>100</v>
      </c>
      <c r="AH20" s="114">
        <f t="shared" si="17"/>
        <v>2295092</v>
      </c>
      <c r="AI20" s="91">
        <f t="shared" si="17"/>
        <v>100</v>
      </c>
      <c r="AJ20" s="114">
        <f t="shared" si="17"/>
        <v>2542295</v>
      </c>
      <c r="AK20" s="91">
        <f t="shared" si="17"/>
        <v>100</v>
      </c>
      <c r="AL20" s="114">
        <f t="shared" si="17"/>
        <v>4046977</v>
      </c>
      <c r="AM20" s="91">
        <f t="shared" si="17"/>
        <v>100</v>
      </c>
    </row>
    <row r="21" spans="1:39" x14ac:dyDescent="0.25">
      <c r="A21" s="108" t="s">
        <v>177</v>
      </c>
      <c r="B21" s="107">
        <v>1279000</v>
      </c>
      <c r="C21" s="93">
        <f>B21/$B$20*100</f>
        <v>51.391818213597894</v>
      </c>
      <c r="D21" s="64">
        <v>51.35</v>
      </c>
      <c r="F21" s="107">
        <v>796441</v>
      </c>
      <c r="G21" s="93">
        <f>F21/$F$20*100</f>
        <v>37.323275375263776</v>
      </c>
      <c r="H21" s="113">
        <v>1450100</v>
      </c>
      <c r="I21" s="93">
        <f t="shared" ref="I21:I32" si="18">H21/$H$20*100</f>
        <v>63.144134619236645</v>
      </c>
      <c r="J21" s="112">
        <v>1863488</v>
      </c>
      <c r="K21" s="91">
        <f t="shared" ref="K21:K32" si="19">J21/$J$20*100</f>
        <v>64.072132585986481</v>
      </c>
      <c r="L21" s="112">
        <v>2103220</v>
      </c>
      <c r="M21" s="91">
        <f t="shared" ref="M21:M32" si="20">L21/$L$20*100</f>
        <v>58.734904851308443</v>
      </c>
      <c r="N21" s="112">
        <v>1458090</v>
      </c>
      <c r="O21" s="91">
        <f t="shared" ref="O21:O32" si="21">N21/$N$20*100</f>
        <v>57.54199556583022</v>
      </c>
      <c r="P21" s="111">
        <v>1962744</v>
      </c>
      <c r="Q21" s="91">
        <f t="shared" ref="Q21:Q32" si="22">P21/$P$20*100</f>
        <v>56.599470900386365</v>
      </c>
      <c r="R21" s="111">
        <v>2009867</v>
      </c>
      <c r="S21" s="91">
        <f t="shared" ref="S21:S32" si="23">R21/$R$20*100</f>
        <v>44.778353647193178</v>
      </c>
      <c r="T21" s="111">
        <v>386450</v>
      </c>
      <c r="U21" s="91">
        <f t="shared" ref="U21:U32" si="24">T21/$T$20*100</f>
        <v>33.140780354107676</v>
      </c>
      <c r="V21" s="111">
        <v>556055</v>
      </c>
      <c r="W21" s="91">
        <f t="shared" ref="W21:W32" si="25">V21/$V$20*100</f>
        <v>35.914253512757668</v>
      </c>
      <c r="X21" s="111">
        <v>866210</v>
      </c>
      <c r="Y21" s="91">
        <f t="shared" ref="Y21:Y33" si="26">X21/$X$20*100</f>
        <v>41.386740819841705</v>
      </c>
      <c r="Z21" s="111">
        <v>706903</v>
      </c>
      <c r="AA21" s="91">
        <f>Z21/$Z$20*100</f>
        <v>33.577942866914299</v>
      </c>
      <c r="AB21" s="111">
        <v>332328</v>
      </c>
      <c r="AC21" s="91">
        <f>AB21/$AB$20*100</f>
        <v>16.542232898798236</v>
      </c>
      <c r="AD21" s="111">
        <v>627941</v>
      </c>
      <c r="AE21" s="91">
        <f>AD21/$AD$20*100</f>
        <v>45.210967137610488</v>
      </c>
      <c r="AF21" s="111">
        <v>589851</v>
      </c>
      <c r="AG21" s="91">
        <f>AF21/$AF$20*100</f>
        <v>39.052635063559322</v>
      </c>
      <c r="AH21" s="111">
        <v>520700</v>
      </c>
      <c r="AI21" s="91">
        <f>AH21/$AH$20*100</f>
        <v>22.687543680166197</v>
      </c>
      <c r="AJ21" s="111">
        <v>429770</v>
      </c>
      <c r="AK21" s="91">
        <f>AJ21/$AJ$20*100</f>
        <v>16.904804517178377</v>
      </c>
      <c r="AL21" s="111">
        <v>465350</v>
      </c>
      <c r="AM21" s="91">
        <f>AL21/$AL$20*100</f>
        <v>11.498706318321059</v>
      </c>
    </row>
    <row r="22" spans="1:39" x14ac:dyDescent="0.25">
      <c r="A22" s="108" t="s">
        <v>486</v>
      </c>
      <c r="B22" s="107"/>
      <c r="C22" s="93"/>
      <c r="F22" s="107"/>
      <c r="G22" s="93"/>
      <c r="H22" s="172"/>
      <c r="I22" s="93"/>
      <c r="J22" s="173"/>
      <c r="K22" s="91"/>
      <c r="L22" s="173"/>
      <c r="M22" s="91"/>
      <c r="N22" s="173"/>
      <c r="O22" s="91"/>
      <c r="P22" s="111"/>
      <c r="Q22" s="91"/>
      <c r="R22" s="111"/>
      <c r="S22" s="91"/>
      <c r="T22" s="111"/>
      <c r="U22" s="91"/>
      <c r="V22" s="111"/>
      <c r="W22" s="91"/>
      <c r="X22" s="111"/>
      <c r="Y22" s="91"/>
      <c r="Z22" s="111"/>
      <c r="AA22" s="91"/>
      <c r="AB22" s="111"/>
      <c r="AC22" s="91"/>
      <c r="AD22" s="111"/>
      <c r="AE22" s="91"/>
      <c r="AF22" s="111">
        <v>4407</v>
      </c>
      <c r="AG22" s="91">
        <f>AF22/$AF$20*100</f>
        <v>0.2917770127118644</v>
      </c>
      <c r="AH22" s="111">
        <v>18575</v>
      </c>
      <c r="AI22" s="91">
        <f t="shared" ref="AI22:AI33" si="27">AH22/$AH$20*100</f>
        <v>0.80933574776087414</v>
      </c>
      <c r="AJ22" s="111">
        <v>25241</v>
      </c>
      <c r="AK22" s="91">
        <f t="shared" ref="AK22:AK33" si="28">AJ22/$AJ$20*100</f>
        <v>0.99284308075970729</v>
      </c>
      <c r="AL22" s="111">
        <v>57525</v>
      </c>
      <c r="AM22" s="91">
        <f t="shared" ref="AM22:AM32" si="29">AL22/$AL$20*100</f>
        <v>1.4214313548112578</v>
      </c>
    </row>
    <row r="23" spans="1:39" x14ac:dyDescent="0.25">
      <c r="A23" s="108" t="s">
        <v>20</v>
      </c>
      <c r="B23" s="107">
        <v>60000</v>
      </c>
      <c r="C23" s="93">
        <f>B23/$B$20*100</f>
        <v>2.4108749748364926</v>
      </c>
      <c r="D23" s="64">
        <v>2.41</v>
      </c>
      <c r="F23" s="107">
        <v>391001</v>
      </c>
      <c r="G23" s="93">
        <f>F23/$F$20*100</f>
        <v>18.323313333948796</v>
      </c>
      <c r="H23" s="110">
        <v>264859</v>
      </c>
      <c r="I23" s="93">
        <f t="shared" si="18"/>
        <v>11.533199331850492</v>
      </c>
      <c r="J23" s="109">
        <v>22717</v>
      </c>
      <c r="K23" s="91">
        <f t="shared" si="19"/>
        <v>0.78107647377168787</v>
      </c>
      <c r="L23" s="109"/>
      <c r="M23" s="91">
        <f t="shared" si="20"/>
        <v>0</v>
      </c>
      <c r="N23" s="109">
        <v>9330</v>
      </c>
      <c r="O23" s="91">
        <f t="shared" si="21"/>
        <v>0.36819868364037606</v>
      </c>
      <c r="P23" s="111">
        <v>188525</v>
      </c>
      <c r="Q23" s="91">
        <f t="shared" si="22"/>
        <v>5.4364783443461491</v>
      </c>
      <c r="R23" s="111">
        <v>828700</v>
      </c>
      <c r="S23" s="91">
        <f t="shared" si="23"/>
        <v>18.462824489097532</v>
      </c>
      <c r="T23" s="111">
        <v>7000</v>
      </c>
      <c r="U23" s="91">
        <f t="shared" si="24"/>
        <v>0.60029877727714764</v>
      </c>
      <c r="V23" s="111">
        <v>7154</v>
      </c>
      <c r="W23" s="91">
        <f t="shared" si="25"/>
        <v>0.4620596337237653</v>
      </c>
      <c r="X23" s="111">
        <v>5032</v>
      </c>
      <c r="Y23" s="91">
        <f t="shared" si="26"/>
        <v>0.24042446959218144</v>
      </c>
      <c r="Z23" s="111">
        <v>7532</v>
      </c>
      <c r="AA23" s="91">
        <f t="shared" ref="AA23:AA33" si="30">Z23/$Z$20*100</f>
        <v>0.35777053665580499</v>
      </c>
      <c r="AB23" s="111">
        <v>4700</v>
      </c>
      <c r="AC23" s="91">
        <f t="shared" ref="AC23:AC33" si="31">AB23/$AB$20*100</f>
        <v>0.23395108033133447</v>
      </c>
      <c r="AD23" s="111">
        <v>1500</v>
      </c>
      <c r="AE23" s="91">
        <f t="shared" ref="AE23:AE33" si="32">AD23/$AD$20*100</f>
        <v>0.10799812515254735</v>
      </c>
      <c r="AF23" s="111">
        <v>1700</v>
      </c>
      <c r="AG23" s="91">
        <f t="shared" ref="AG23:AG33" si="33">AF23/$AF$20*100</f>
        <v>0.11255296610169492</v>
      </c>
      <c r="AH23" s="111">
        <v>1000</v>
      </c>
      <c r="AI23" s="91">
        <f t="shared" si="27"/>
        <v>4.3571238102873437E-2</v>
      </c>
      <c r="AJ23" s="111">
        <v>20000</v>
      </c>
      <c r="AK23" s="91">
        <f t="shared" si="28"/>
        <v>0.78669076562712037</v>
      </c>
      <c r="AL23" s="111">
        <v>150000</v>
      </c>
      <c r="AM23" s="91">
        <f t="shared" si="29"/>
        <v>3.7064702863396555</v>
      </c>
    </row>
    <row r="24" spans="1:39" x14ac:dyDescent="0.25">
      <c r="A24" s="108" t="s">
        <v>21</v>
      </c>
      <c r="B24" s="107">
        <v>308150</v>
      </c>
      <c r="C24" s="93">
        <f>B24/$B$20*100</f>
        <v>12.381852058264419</v>
      </c>
      <c r="D24" s="64">
        <v>12.37</v>
      </c>
      <c r="F24" s="107">
        <v>420602</v>
      </c>
      <c r="G24" s="93">
        <f>F24/$F$20*100</f>
        <v>19.710492389752279</v>
      </c>
      <c r="H24" s="110">
        <v>17222</v>
      </c>
      <c r="I24" s="93">
        <f t="shared" si="18"/>
        <v>0.74992640949761635</v>
      </c>
      <c r="J24" s="109">
        <v>17200</v>
      </c>
      <c r="K24" s="91">
        <f t="shared" si="19"/>
        <v>0.59138598181419344</v>
      </c>
      <c r="L24" s="109"/>
      <c r="M24" s="91">
        <f t="shared" si="20"/>
        <v>0</v>
      </c>
      <c r="N24" s="109">
        <v>1260</v>
      </c>
      <c r="O24" s="91">
        <f t="shared" si="21"/>
        <v>4.9724581070404478E-2</v>
      </c>
      <c r="P24" s="111">
        <v>24496</v>
      </c>
      <c r="Q24" s="91">
        <f t="shared" si="22"/>
        <v>0.70638893262486813</v>
      </c>
      <c r="R24" s="111">
        <v>44177</v>
      </c>
      <c r="S24" s="91">
        <f t="shared" si="23"/>
        <v>0.98423096108949149</v>
      </c>
      <c r="T24" s="111">
        <v>60000</v>
      </c>
      <c r="U24" s="91">
        <f t="shared" si="24"/>
        <v>5.14541809094698</v>
      </c>
      <c r="V24" s="111">
        <v>150630</v>
      </c>
      <c r="W24" s="91">
        <f t="shared" si="25"/>
        <v>9.7288289946618356</v>
      </c>
      <c r="X24" s="111">
        <v>295049</v>
      </c>
      <c r="Y24" s="91">
        <f t="shared" si="26"/>
        <v>14.097177927007856</v>
      </c>
      <c r="Z24" s="111">
        <v>309059</v>
      </c>
      <c r="AA24" s="91">
        <f t="shared" si="30"/>
        <v>14.680324520486781</v>
      </c>
      <c r="AB24" s="111">
        <v>223383</v>
      </c>
      <c r="AC24" s="91">
        <f t="shared" si="31"/>
        <v>11.119296633543508</v>
      </c>
      <c r="AD24" s="111">
        <v>74044</v>
      </c>
      <c r="AE24" s="91">
        <f t="shared" si="32"/>
        <v>5.3310754525301443</v>
      </c>
      <c r="AF24" s="111">
        <v>93952</v>
      </c>
      <c r="AG24" s="91">
        <f t="shared" si="33"/>
        <v>6.2203389830508469</v>
      </c>
      <c r="AH24" s="111">
        <v>101565</v>
      </c>
      <c r="AI24" s="91">
        <f t="shared" si="27"/>
        <v>4.4253127979183402</v>
      </c>
      <c r="AJ24" s="111">
        <v>777606</v>
      </c>
      <c r="AK24" s="91">
        <f t="shared" si="28"/>
        <v>30.586772974812128</v>
      </c>
      <c r="AL24" s="111">
        <v>1129126</v>
      </c>
      <c r="AM24" s="91">
        <f t="shared" si="29"/>
        <v>27.900479790223663</v>
      </c>
    </row>
    <row r="25" spans="1:39" x14ac:dyDescent="0.25">
      <c r="A25" s="108" t="s">
        <v>115</v>
      </c>
      <c r="B25" s="107">
        <f>372042+500+5000-5648+1+2</f>
        <v>371897</v>
      </c>
      <c r="C25" s="93">
        <f>B25/$B$20*100</f>
        <v>14.94328617527945</v>
      </c>
      <c r="D25" s="64">
        <v>14.93</v>
      </c>
      <c r="F25" s="107">
        <v>43630</v>
      </c>
      <c r="G25" s="93">
        <f>F25/$F$20*100</f>
        <v>2.0446141077904811</v>
      </c>
      <c r="H25" s="110">
        <v>19316</v>
      </c>
      <c r="I25" s="93">
        <f t="shared" si="18"/>
        <v>0.84110896097177779</v>
      </c>
      <c r="J25" s="109">
        <v>15030</v>
      </c>
      <c r="K25" s="91">
        <f t="shared" si="19"/>
        <v>0.51677507596903061</v>
      </c>
      <c r="L25" s="109">
        <v>34567</v>
      </c>
      <c r="M25" s="91">
        <f t="shared" si="20"/>
        <v>0.96532433886858182</v>
      </c>
      <c r="N25" s="109">
        <v>24746</v>
      </c>
      <c r="O25" s="91">
        <f t="shared" si="21"/>
        <v>0.97657498664145193</v>
      </c>
      <c r="P25" s="104">
        <v>44823</v>
      </c>
      <c r="Q25" s="91">
        <f t="shared" si="22"/>
        <v>1.2925567899675239</v>
      </c>
      <c r="R25" s="104">
        <v>41540</v>
      </c>
      <c r="S25" s="91">
        <f t="shared" si="23"/>
        <v>0.92548054697370752</v>
      </c>
      <c r="T25" s="104">
        <v>65098</v>
      </c>
      <c r="U25" s="91">
        <f t="shared" si="24"/>
        <v>5.5826071147411085</v>
      </c>
      <c r="V25" s="104">
        <v>107573</v>
      </c>
      <c r="W25" s="91">
        <f t="shared" si="25"/>
        <v>6.9478810425729103</v>
      </c>
      <c r="X25" s="104">
        <v>61321</v>
      </c>
      <c r="Y25" s="91">
        <f t="shared" si="26"/>
        <v>2.9298626589551189</v>
      </c>
      <c r="Z25" s="104">
        <v>20720</v>
      </c>
      <c r="AA25" s="91">
        <f t="shared" si="30"/>
        <v>0.98420147630221455</v>
      </c>
      <c r="AB25" s="104">
        <v>57819</v>
      </c>
      <c r="AC25" s="91">
        <f t="shared" si="31"/>
        <v>2.8780462795058357</v>
      </c>
      <c r="AD25" s="104">
        <v>40035</v>
      </c>
      <c r="AE25" s="91">
        <f t="shared" si="32"/>
        <v>2.8824699603214885</v>
      </c>
      <c r="AF25" s="104">
        <v>57899</v>
      </c>
      <c r="AG25" s="91">
        <f t="shared" si="33"/>
        <v>3.8333554025423733</v>
      </c>
      <c r="AH25" s="104">
        <v>59948</v>
      </c>
      <c r="AI25" s="91">
        <f t="shared" si="27"/>
        <v>2.6120085817910565</v>
      </c>
      <c r="AJ25" s="104">
        <v>64141</v>
      </c>
      <c r="AK25" s="91">
        <f t="shared" si="28"/>
        <v>2.5229566199044564</v>
      </c>
      <c r="AL25" s="104">
        <v>160549</v>
      </c>
      <c r="AM25" s="91">
        <f t="shared" si="29"/>
        <v>3.967133986676969</v>
      </c>
    </row>
    <row r="26" spans="1:39" x14ac:dyDescent="0.25">
      <c r="A26" s="108" t="s">
        <v>23</v>
      </c>
      <c r="B26" s="107"/>
      <c r="C26" s="93"/>
      <c r="F26" s="107"/>
      <c r="G26" s="93"/>
      <c r="H26" s="110">
        <v>55523</v>
      </c>
      <c r="I26" s="93">
        <f t="shared" si="18"/>
        <v>2.4177310436962114</v>
      </c>
      <c r="J26" s="109">
        <v>39289</v>
      </c>
      <c r="K26" s="91">
        <f t="shared" si="19"/>
        <v>1.3508699906684793</v>
      </c>
      <c r="L26" s="109">
        <v>38437</v>
      </c>
      <c r="M26" s="91">
        <f t="shared" si="20"/>
        <v>1.0733986638438882</v>
      </c>
      <c r="N26" s="109">
        <v>41699</v>
      </c>
      <c r="O26" s="91">
        <f t="shared" si="21"/>
        <v>1.6456073857577751</v>
      </c>
      <c r="P26" s="104">
        <v>20590</v>
      </c>
      <c r="Q26" s="91">
        <f t="shared" si="22"/>
        <v>0.59375196451445278</v>
      </c>
      <c r="R26" s="104">
        <v>16078</v>
      </c>
      <c r="S26" s="91">
        <f t="shared" si="23"/>
        <v>0.35820597578823477</v>
      </c>
      <c r="T26" s="104">
        <v>7150</v>
      </c>
      <c r="U26" s="91">
        <f t="shared" si="24"/>
        <v>0.61316232250451508</v>
      </c>
      <c r="V26" s="104">
        <v>12100</v>
      </c>
      <c r="W26" s="91">
        <f t="shared" si="25"/>
        <v>0.78150986414000001</v>
      </c>
      <c r="X26" s="104">
        <v>7220</v>
      </c>
      <c r="Y26" s="91">
        <f t="shared" si="26"/>
        <v>0.34496515708576109</v>
      </c>
      <c r="Z26" s="104">
        <v>2620</v>
      </c>
      <c r="AA26" s="91">
        <f t="shared" si="30"/>
        <v>0.12445018667528</v>
      </c>
      <c r="AB26" s="104">
        <v>3620</v>
      </c>
      <c r="AC26" s="91">
        <f t="shared" si="31"/>
        <v>0.18019210868072996</v>
      </c>
      <c r="AD26" s="104">
        <v>0</v>
      </c>
      <c r="AE26" s="91">
        <f t="shared" si="32"/>
        <v>0</v>
      </c>
      <c r="AF26" s="104"/>
      <c r="AG26" s="91">
        <f t="shared" si="33"/>
        <v>0</v>
      </c>
      <c r="AH26" s="104"/>
      <c r="AI26" s="91">
        <f t="shared" si="27"/>
        <v>0</v>
      </c>
      <c r="AJ26" s="104">
        <v>5600</v>
      </c>
      <c r="AK26" s="91">
        <f t="shared" si="28"/>
        <v>0.2202734143755937</v>
      </c>
      <c r="AL26" s="104">
        <v>3300</v>
      </c>
      <c r="AM26" s="91">
        <f t="shared" si="29"/>
        <v>8.1542346299472421E-2</v>
      </c>
    </row>
    <row r="27" spans="1:39" x14ac:dyDescent="0.25">
      <c r="A27" s="108" t="s">
        <v>24</v>
      </c>
      <c r="B27" s="107">
        <v>104688</v>
      </c>
      <c r="C27" s="93">
        <f t="shared" ref="C27:C32" si="34">B27/$B$20*100</f>
        <v>4.2064946560947121</v>
      </c>
      <c r="D27" s="64">
        <v>4.2</v>
      </c>
      <c r="F27" s="107">
        <v>31820</v>
      </c>
      <c r="G27" s="93">
        <f t="shared" ref="G27:G32" si="35">F27/$F$20*100</f>
        <v>1.4911671077215931</v>
      </c>
      <c r="H27" s="110">
        <f>57028+1170</f>
        <v>58198</v>
      </c>
      <c r="I27" s="93">
        <f t="shared" si="18"/>
        <v>2.5342130519069954</v>
      </c>
      <c r="J27" s="109">
        <v>208227</v>
      </c>
      <c r="K27" s="91">
        <f t="shared" si="19"/>
        <v>7.1594493508851196</v>
      </c>
      <c r="L27" s="109">
        <v>304068</v>
      </c>
      <c r="M27" s="91">
        <f t="shared" si="20"/>
        <v>8.4914583582923591</v>
      </c>
      <c r="N27" s="109">
        <v>176970</v>
      </c>
      <c r="O27" s="91">
        <f t="shared" si="21"/>
        <v>6.9839358031980003</v>
      </c>
      <c r="P27" s="104">
        <v>228943</v>
      </c>
      <c r="Q27" s="91">
        <f t="shared" si="22"/>
        <v>6.6020085484134228</v>
      </c>
      <c r="R27" s="104">
        <v>237960</v>
      </c>
      <c r="S27" s="91">
        <f t="shared" si="23"/>
        <v>5.3015732055335452</v>
      </c>
      <c r="T27" s="104">
        <v>13535</v>
      </c>
      <c r="U27" s="91">
        <f t="shared" si="24"/>
        <v>1.1607205643494563</v>
      </c>
      <c r="V27" s="104">
        <v>62827</v>
      </c>
      <c r="W27" s="91">
        <f t="shared" si="25"/>
        <v>4.0578446474647754</v>
      </c>
      <c r="X27" s="104">
        <v>64071</v>
      </c>
      <c r="Y27" s="91">
        <f t="shared" si="26"/>
        <v>3.0612552049365376</v>
      </c>
      <c r="Z27" s="104">
        <v>202028</v>
      </c>
      <c r="AA27" s="91">
        <f t="shared" si="30"/>
        <v>9.596344394516592</v>
      </c>
      <c r="AB27" s="104">
        <v>433119</v>
      </c>
      <c r="AC27" s="91">
        <f t="shared" si="31"/>
        <v>21.559288928090904</v>
      </c>
      <c r="AD27" s="104">
        <v>499557</v>
      </c>
      <c r="AE27" s="91">
        <f t="shared" si="32"/>
        <v>35.967479604554065</v>
      </c>
      <c r="AF27" s="104">
        <v>182774</v>
      </c>
      <c r="AG27" s="91">
        <f t="shared" si="33"/>
        <v>12.10103283898305</v>
      </c>
      <c r="AH27" s="104">
        <v>535969</v>
      </c>
      <c r="AI27" s="91">
        <f t="shared" si="27"/>
        <v>23.352832914758974</v>
      </c>
      <c r="AJ27" s="104">
        <v>564322</v>
      </c>
      <c r="AK27" s="91">
        <f t="shared" si="28"/>
        <v>22.197345312011389</v>
      </c>
      <c r="AL27" s="104">
        <v>706161</v>
      </c>
      <c r="AM27" s="91">
        <f t="shared" si="29"/>
        <v>17.44909842581265</v>
      </c>
    </row>
    <row r="28" spans="1:39" x14ac:dyDescent="0.25">
      <c r="A28" s="108" t="s">
        <v>25</v>
      </c>
      <c r="B28" s="107">
        <f>301250+7000</f>
        <v>308250</v>
      </c>
      <c r="C28" s="93">
        <f t="shared" si="34"/>
        <v>12.38587018322248</v>
      </c>
      <c r="D28" s="64">
        <v>12.38</v>
      </c>
      <c r="F28" s="107">
        <v>418475</v>
      </c>
      <c r="G28" s="93">
        <f t="shared" si="35"/>
        <v>19.610815694650967</v>
      </c>
      <c r="H28" s="110">
        <f>255388-258+23964</f>
        <v>279094</v>
      </c>
      <c r="I28" s="93">
        <f t="shared" si="18"/>
        <v>12.15305779423573</v>
      </c>
      <c r="J28" s="109">
        <v>399843</v>
      </c>
      <c r="K28" s="91">
        <f t="shared" si="19"/>
        <v>13.747764251542588</v>
      </c>
      <c r="L28" s="109">
        <v>431871</v>
      </c>
      <c r="M28" s="91">
        <f t="shared" si="20"/>
        <v>12.060508217418734</v>
      </c>
      <c r="N28" s="109">
        <v>405753</v>
      </c>
      <c r="O28" s="91">
        <f t="shared" si="21"/>
        <v>16.012617415126847</v>
      </c>
      <c r="P28" s="104">
        <v>454070</v>
      </c>
      <c r="Q28" s="91">
        <f t="shared" si="22"/>
        <v>13.09397545056229</v>
      </c>
      <c r="R28" s="104">
        <v>605840</v>
      </c>
      <c r="S28" s="91">
        <f t="shared" si="23"/>
        <v>13.497668141033966</v>
      </c>
      <c r="T28" s="104">
        <v>76028</v>
      </c>
      <c r="U28" s="91">
        <f t="shared" si="24"/>
        <v>6.5199307769752828</v>
      </c>
      <c r="V28" s="104">
        <v>90966</v>
      </c>
      <c r="W28" s="91">
        <f t="shared" si="25"/>
        <v>5.8752749009387806</v>
      </c>
      <c r="X28" s="104">
        <v>435288</v>
      </c>
      <c r="Y28" s="91">
        <f t="shared" si="26"/>
        <v>20.797672201876285</v>
      </c>
      <c r="Z28" s="104">
        <v>202853</v>
      </c>
      <c r="AA28" s="91">
        <f t="shared" si="30"/>
        <v>9.6355319532979298</v>
      </c>
      <c r="AB28" s="104">
        <v>145534</v>
      </c>
      <c r="AC28" s="91">
        <f t="shared" si="31"/>
        <v>7.2442205372213682</v>
      </c>
      <c r="AD28" s="104">
        <v>80794</v>
      </c>
      <c r="AE28" s="91">
        <f t="shared" si="32"/>
        <v>5.8170670157166073</v>
      </c>
      <c r="AF28" s="104">
        <v>294965</v>
      </c>
      <c r="AG28" s="91">
        <f t="shared" si="33"/>
        <v>19.528932733050848</v>
      </c>
      <c r="AH28" s="104">
        <v>344705</v>
      </c>
      <c r="AI28" s="91">
        <f t="shared" si="27"/>
        <v>15.019223630250988</v>
      </c>
      <c r="AJ28" s="104">
        <v>351877</v>
      </c>
      <c r="AK28" s="91">
        <f t="shared" si="28"/>
        <v>13.840919326828713</v>
      </c>
      <c r="AL28" s="104">
        <v>1026090</v>
      </c>
      <c r="AM28" s="91">
        <f t="shared" si="29"/>
        <v>25.354480640735051</v>
      </c>
    </row>
    <row r="29" spans="1:39" ht="15.75" customHeight="1" x14ac:dyDescent="0.25">
      <c r="A29" s="108" t="s">
        <v>114</v>
      </c>
      <c r="B29" s="107"/>
      <c r="C29" s="93"/>
      <c r="F29" s="107"/>
      <c r="G29" s="93"/>
      <c r="H29" s="110"/>
      <c r="I29" s="93"/>
      <c r="J29" s="109"/>
      <c r="K29" s="91"/>
      <c r="L29" s="109"/>
      <c r="M29" s="91"/>
      <c r="N29" s="109"/>
      <c r="O29" s="91"/>
      <c r="Q29" s="91"/>
      <c r="S29" s="91"/>
      <c r="U29" s="91"/>
      <c r="W29" s="91"/>
      <c r="Y29" s="91"/>
      <c r="AA29" s="91"/>
      <c r="AB29" s="104">
        <v>500</v>
      </c>
      <c r="AC29" s="91">
        <f t="shared" si="31"/>
        <v>2.4888412801205791E-2</v>
      </c>
      <c r="AD29" s="104">
        <v>500</v>
      </c>
      <c r="AE29" s="91">
        <f t="shared" si="32"/>
        <v>3.5999375050849117E-2</v>
      </c>
      <c r="AF29" s="104">
        <v>56000</v>
      </c>
      <c r="AG29" s="91">
        <f t="shared" si="33"/>
        <v>3.7076271186440675</v>
      </c>
      <c r="AH29" s="104">
        <v>167095</v>
      </c>
      <c r="AI29" s="91">
        <f t="shared" si="27"/>
        <v>7.2805360307996363</v>
      </c>
      <c r="AJ29" s="104">
        <v>44250</v>
      </c>
      <c r="AK29" s="91">
        <f t="shared" si="28"/>
        <v>1.7405533189500038</v>
      </c>
      <c r="AL29" s="104">
        <v>65000</v>
      </c>
      <c r="AM29" s="91">
        <f t="shared" si="29"/>
        <v>1.6061371240805173</v>
      </c>
    </row>
    <row r="30" spans="1:39" x14ac:dyDescent="0.25">
      <c r="A30" s="108" t="s">
        <v>26</v>
      </c>
      <c r="B30" s="107">
        <v>33000</v>
      </c>
      <c r="C30" s="93">
        <f t="shared" si="34"/>
        <v>1.3259812361600709</v>
      </c>
      <c r="D30" s="64">
        <v>1.33</v>
      </c>
      <c r="F30" s="107">
        <v>10700</v>
      </c>
      <c r="G30" s="93">
        <f t="shared" si="35"/>
        <v>0.50142954282278585</v>
      </c>
      <c r="H30" s="110">
        <v>114431</v>
      </c>
      <c r="I30" s="93">
        <f t="shared" si="18"/>
        <v>4.9828608155395271</v>
      </c>
      <c r="J30" s="109">
        <v>324149</v>
      </c>
      <c r="K30" s="91">
        <f t="shared" si="19"/>
        <v>11.145184570877266</v>
      </c>
      <c r="L30" s="109">
        <v>591057</v>
      </c>
      <c r="M30" s="91">
        <f t="shared" si="20"/>
        <v>16.505965451403</v>
      </c>
      <c r="N30" s="109">
        <v>312314</v>
      </c>
      <c r="O30" s="91">
        <f t="shared" si="21"/>
        <v>12.325145089224051</v>
      </c>
      <c r="P30" s="104">
        <v>418203</v>
      </c>
      <c r="Q30" s="91">
        <f t="shared" si="22"/>
        <v>12.059682021167445</v>
      </c>
      <c r="R30" s="104">
        <v>651384</v>
      </c>
      <c r="S30" s="91">
        <f t="shared" si="23"/>
        <v>14.512354853392429</v>
      </c>
      <c r="T30" s="104">
        <v>36800</v>
      </c>
      <c r="U30" s="91">
        <f t="shared" si="24"/>
        <v>3.1558564291141478</v>
      </c>
      <c r="V30" s="104">
        <v>111988</v>
      </c>
      <c r="W30" s="91">
        <f t="shared" si="25"/>
        <v>7.2330352615958953</v>
      </c>
      <c r="X30" s="104">
        <v>96590</v>
      </c>
      <c r="Y30" s="91">
        <f t="shared" si="26"/>
        <v>4.6149840059437208</v>
      </c>
      <c r="Z30" s="104">
        <v>162298</v>
      </c>
      <c r="AA30" s="91">
        <f t="shared" si="30"/>
        <v>7.7091665637498457</v>
      </c>
      <c r="AB30" s="104">
        <v>74063</v>
      </c>
      <c r="AC30" s="91">
        <f t="shared" si="31"/>
        <v>3.6866210345914094</v>
      </c>
      <c r="AD30" s="104">
        <v>5755</v>
      </c>
      <c r="AE30" s="91">
        <f t="shared" si="32"/>
        <v>0.41435280683527337</v>
      </c>
      <c r="AF30" s="104">
        <v>152537</v>
      </c>
      <c r="AG30" s="91">
        <f t="shared" si="33"/>
        <v>10.099112817796611</v>
      </c>
      <c r="AH30" s="104">
        <v>82389</v>
      </c>
      <c r="AI30" s="91">
        <f t="shared" si="27"/>
        <v>3.5897907360576395</v>
      </c>
      <c r="AJ30" s="104">
        <v>117035</v>
      </c>
      <c r="AK30" s="91">
        <f t="shared" si="28"/>
        <v>4.6035176877585018</v>
      </c>
      <c r="AL30" s="104">
        <v>115752</v>
      </c>
      <c r="AM30" s="91">
        <f t="shared" si="29"/>
        <v>2.8602089905625854</v>
      </c>
    </row>
    <row r="31" spans="1:39" x14ac:dyDescent="0.25">
      <c r="A31" s="108" t="s">
        <v>27</v>
      </c>
      <c r="B31" s="107">
        <v>16738</v>
      </c>
      <c r="C31" s="93">
        <f t="shared" si="34"/>
        <v>0.67255375548022023</v>
      </c>
      <c r="D31" s="64">
        <v>0.67</v>
      </c>
      <c r="F31" s="107">
        <v>20230</v>
      </c>
      <c r="G31" s="93">
        <f t="shared" si="35"/>
        <v>0.94802987395373439</v>
      </c>
      <c r="H31" s="110">
        <v>19305</v>
      </c>
      <c r="I31" s="93">
        <f t="shared" si="18"/>
        <v>0.84062996953614466</v>
      </c>
      <c r="J31" s="109">
        <v>8863</v>
      </c>
      <c r="K31" s="91">
        <f t="shared" si="19"/>
        <v>0.30473569516390675</v>
      </c>
      <c r="L31" s="109">
        <v>10636</v>
      </c>
      <c r="M31" s="91">
        <f t="shared" si="20"/>
        <v>0.2970228734980252</v>
      </c>
      <c r="N31" s="109">
        <v>23446</v>
      </c>
      <c r="O31" s="91">
        <f t="shared" si="21"/>
        <v>0.92527184744182811</v>
      </c>
      <c r="P31" s="104">
        <v>19042</v>
      </c>
      <c r="Q31" s="91">
        <f t="shared" si="22"/>
        <v>0.54911242876562449</v>
      </c>
      <c r="R31" s="104">
        <v>3306</v>
      </c>
      <c r="S31" s="91">
        <f t="shared" si="23"/>
        <v>7.3655240450050008E-2</v>
      </c>
      <c r="T31" s="104">
        <v>511200</v>
      </c>
      <c r="U31" s="91">
        <f t="shared" si="24"/>
        <v>43.838962134868268</v>
      </c>
      <c r="V31" s="104">
        <v>441740</v>
      </c>
      <c r="W31" s="91">
        <f t="shared" si="25"/>
        <v>28.530922924396997</v>
      </c>
      <c r="X31" s="104">
        <v>141727</v>
      </c>
      <c r="Y31" s="91">
        <f t="shared" si="26"/>
        <v>6.7715895870212828</v>
      </c>
      <c r="Z31" s="104">
        <v>406667</v>
      </c>
      <c r="AA31" s="91">
        <f t="shared" si="30"/>
        <v>19.316711475067212</v>
      </c>
      <c r="AB31" s="104">
        <v>730401</v>
      </c>
      <c r="AC31" s="91">
        <f t="shared" si="31"/>
        <v>36.357043196827028</v>
      </c>
      <c r="AD31" s="104">
        <v>57873</v>
      </c>
      <c r="AE31" s="91">
        <f t="shared" si="32"/>
        <v>4.1667836646355818</v>
      </c>
      <c r="AF31" s="104">
        <v>76027</v>
      </c>
      <c r="AG31" s="91">
        <f t="shared" si="33"/>
        <v>5.0335672669491522</v>
      </c>
      <c r="AH31" s="104">
        <v>446505</v>
      </c>
      <c r="AI31" s="91">
        <f t="shared" si="27"/>
        <v>19.454775669123503</v>
      </c>
      <c r="AJ31" s="104">
        <v>131963</v>
      </c>
      <c r="AK31" s="91">
        <f t="shared" si="28"/>
        <v>5.1907036752225837</v>
      </c>
      <c r="AL31" s="104">
        <v>168124</v>
      </c>
      <c r="AM31" s="91">
        <f t="shared" si="29"/>
        <v>4.1543107361371217</v>
      </c>
    </row>
    <row r="32" spans="1:39" x14ac:dyDescent="0.25">
      <c r="A32" s="108" t="s">
        <v>113</v>
      </c>
      <c r="B32" s="107">
        <f>5000+2000</f>
        <v>7000</v>
      </c>
      <c r="C32" s="93">
        <f t="shared" si="34"/>
        <v>0.28126874706425747</v>
      </c>
      <c r="D32" s="64">
        <v>0.28000000000000003</v>
      </c>
      <c r="F32" s="107">
        <v>1000</v>
      </c>
      <c r="G32" s="93">
        <f t="shared" si="35"/>
        <v>4.6862574095587473E-2</v>
      </c>
      <c r="H32" s="106">
        <v>18444</v>
      </c>
      <c r="I32" s="93">
        <f t="shared" si="18"/>
        <v>0.80313800352886044</v>
      </c>
      <c r="J32" s="105">
        <v>9616</v>
      </c>
      <c r="K32" s="91">
        <f t="shared" si="19"/>
        <v>0.33062602332123742</v>
      </c>
      <c r="L32" s="105">
        <v>67013</v>
      </c>
      <c r="M32" s="91">
        <f t="shared" si="20"/>
        <v>1.8714172453669766</v>
      </c>
      <c r="N32" s="105">
        <v>80350</v>
      </c>
      <c r="O32" s="91">
        <f t="shared" si="21"/>
        <v>3.1709286420690477</v>
      </c>
      <c r="P32" s="104">
        <v>106342</v>
      </c>
      <c r="Q32" s="91">
        <f t="shared" si="22"/>
        <v>3.0665746192518668</v>
      </c>
      <c r="R32" s="104">
        <v>49627</v>
      </c>
      <c r="S32" s="91">
        <f t="shared" si="23"/>
        <v>1.1056529394478618</v>
      </c>
      <c r="T32" s="104">
        <v>2825</v>
      </c>
      <c r="U32" s="91">
        <f t="shared" si="24"/>
        <v>0.24226343511542028</v>
      </c>
      <c r="V32" s="104">
        <v>7252</v>
      </c>
      <c r="W32" s="91">
        <f t="shared" si="25"/>
        <v>0.46838921774737857</v>
      </c>
      <c r="X32" s="104">
        <v>67857</v>
      </c>
      <c r="Y32" s="91">
        <f t="shared" si="26"/>
        <v>3.2421469064222288</v>
      </c>
      <c r="Z32" s="104">
        <v>32580</v>
      </c>
      <c r="AA32" s="91">
        <f t="shared" si="30"/>
        <v>1.5475523213284821</v>
      </c>
      <c r="AB32" s="104">
        <v>3500</v>
      </c>
      <c r="AC32" s="91">
        <f t="shared" si="31"/>
        <v>0.17421888960844056</v>
      </c>
      <c r="AD32" s="104">
        <v>914</v>
      </c>
      <c r="AE32" s="91">
        <f t="shared" si="32"/>
        <v>6.5806857592952184E-2</v>
      </c>
      <c r="AF32" s="104">
        <v>288</v>
      </c>
      <c r="AG32" s="91">
        <f t="shared" si="33"/>
        <v>1.9067796610169493E-2</v>
      </c>
      <c r="AH32" s="104">
        <v>16641</v>
      </c>
      <c r="AI32" s="91">
        <f t="shared" si="27"/>
        <v>0.72506897326991682</v>
      </c>
      <c r="AJ32" s="104">
        <v>10490</v>
      </c>
      <c r="AK32" s="91">
        <f t="shared" si="28"/>
        <v>0.41261930657142465</v>
      </c>
      <c r="AL32" s="104">
        <v>0</v>
      </c>
      <c r="AM32" s="91">
        <f t="shared" si="29"/>
        <v>0</v>
      </c>
    </row>
    <row r="33" spans="1:37" hidden="1" x14ac:dyDescent="0.25">
      <c r="A33" s="64" t="s">
        <v>112</v>
      </c>
      <c r="X33" s="104">
        <v>52600</v>
      </c>
      <c r="Y33" s="91">
        <f t="shared" si="26"/>
        <v>2.5131810613173178</v>
      </c>
      <c r="Z33" s="104">
        <v>52000</v>
      </c>
      <c r="AA33" s="91">
        <f t="shared" si="30"/>
        <v>2.4700037050055577</v>
      </c>
      <c r="AB33" s="104">
        <v>0</v>
      </c>
      <c r="AC33" s="91">
        <f t="shared" si="31"/>
        <v>0</v>
      </c>
      <c r="AD33" s="104"/>
      <c r="AE33" s="91">
        <f t="shared" si="32"/>
        <v>0</v>
      </c>
      <c r="AF33" s="104"/>
      <c r="AG33" s="91">
        <f t="shared" si="33"/>
        <v>0</v>
      </c>
      <c r="AH33" s="104"/>
      <c r="AI33" s="91">
        <f t="shared" si="27"/>
        <v>0</v>
      </c>
      <c r="AJ33" s="104"/>
      <c r="AK33" s="91">
        <f t="shared" si="28"/>
        <v>0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2"/>
  <sheetViews>
    <sheetView zoomScaleNormal="100" zoomScaleSheetLayoutView="100" workbookViewId="0">
      <pane ySplit="2" topLeftCell="A3" activePane="bottomLeft" state="frozen"/>
      <selection activeCell="J7" sqref="J7"/>
      <selection pane="bottomLeft" activeCell="D14" sqref="D14"/>
    </sheetView>
  </sheetViews>
  <sheetFormatPr defaultColWidth="9.28515625" defaultRowHeight="10.5" x14ac:dyDescent="0.15"/>
  <cols>
    <col min="1" max="1" width="6.42578125" style="17" customWidth="1"/>
    <col min="2" max="2" width="55.7109375" style="8" customWidth="1"/>
    <col min="3" max="3" width="10.7109375" style="8" customWidth="1"/>
    <col min="4" max="5" width="10.7109375" style="23" customWidth="1"/>
    <col min="6" max="6" width="10.7109375" style="8" customWidth="1"/>
    <col min="7" max="7" width="8" style="8" customWidth="1"/>
    <col min="8" max="16384" width="9.28515625" style="1"/>
  </cols>
  <sheetData>
    <row r="1" spans="1:8" ht="36" customHeight="1" thickBot="1" x14ac:dyDescent="0.25">
      <c r="A1" s="395" t="s">
        <v>363</v>
      </c>
      <c r="B1" s="396"/>
      <c r="C1" s="396"/>
      <c r="D1" s="396"/>
      <c r="E1" s="396"/>
      <c r="F1" s="396"/>
      <c r="G1" s="396"/>
    </row>
    <row r="2" spans="1:8" ht="36" customHeight="1" x14ac:dyDescent="0.15">
      <c r="A2" s="388" t="s">
        <v>0</v>
      </c>
      <c r="B2" s="2" t="s">
        <v>1</v>
      </c>
      <c r="C2" s="2" t="s">
        <v>338</v>
      </c>
      <c r="D2" s="2" t="s">
        <v>339</v>
      </c>
      <c r="E2" s="2" t="s">
        <v>340</v>
      </c>
      <c r="F2" s="2" t="s">
        <v>730</v>
      </c>
      <c r="G2" s="3" t="s">
        <v>342</v>
      </c>
      <c r="H2" s="4"/>
    </row>
    <row r="3" spans="1:8" s="8" customFormat="1" ht="15" customHeight="1" x14ac:dyDescent="0.25">
      <c r="A3" s="137">
        <v>146</v>
      </c>
      <c r="B3" s="5" t="s">
        <v>127</v>
      </c>
      <c r="C3" s="13">
        <v>8000</v>
      </c>
      <c r="D3" s="13">
        <v>8750.4</v>
      </c>
      <c r="E3" s="13">
        <v>7492.8</v>
      </c>
      <c r="F3" s="6">
        <v>7200</v>
      </c>
      <c r="G3" s="7">
        <f t="shared" ref="G3:G41" si="0">F3/C3*100</f>
        <v>90</v>
      </c>
    </row>
    <row r="4" spans="1:8" s="8" customFormat="1" ht="15.75" customHeight="1" x14ac:dyDescent="0.25">
      <c r="A4" s="397" t="s">
        <v>2</v>
      </c>
      <c r="B4" s="398"/>
      <c r="C4" s="180">
        <f>SUM(C3)</f>
        <v>8000</v>
      </c>
      <c r="D4" s="180">
        <f>SUM(D3)</f>
        <v>8750.4</v>
      </c>
      <c r="E4" s="180">
        <f>SUM(E3)</f>
        <v>7492.8</v>
      </c>
      <c r="F4" s="178">
        <f>SUM(F3)</f>
        <v>7200</v>
      </c>
      <c r="G4" s="10">
        <f t="shared" si="0"/>
        <v>90</v>
      </c>
    </row>
    <row r="5" spans="1:8" s="8" customFormat="1" ht="24" customHeight="1" x14ac:dyDescent="0.25">
      <c r="A5" s="138">
        <v>179</v>
      </c>
      <c r="B5" s="5" t="s">
        <v>3</v>
      </c>
      <c r="C5" s="13">
        <v>12000</v>
      </c>
      <c r="D5" s="13">
        <v>21999.999999999996</v>
      </c>
      <c r="E5" s="13">
        <v>5057.3999999999996</v>
      </c>
      <c r="F5" s="179">
        <v>12000</v>
      </c>
      <c r="G5" s="7">
        <f>F5/C5*100</f>
        <v>100</v>
      </c>
    </row>
    <row r="6" spans="1:8" s="8" customFormat="1" ht="15" customHeight="1" x14ac:dyDescent="0.25">
      <c r="A6" s="138">
        <v>180</v>
      </c>
      <c r="B6" s="5" t="s">
        <v>128</v>
      </c>
      <c r="C6" s="13">
        <v>11000</v>
      </c>
      <c r="D6" s="13">
        <v>12221</v>
      </c>
      <c r="E6" s="13">
        <v>12203.36384</v>
      </c>
      <c r="F6" s="179">
        <v>11000</v>
      </c>
      <c r="G6" s="7">
        <f t="shared" si="0"/>
        <v>100</v>
      </c>
    </row>
    <row r="7" spans="1:8" s="8" customFormat="1" ht="24" customHeight="1" x14ac:dyDescent="0.25">
      <c r="A7" s="138">
        <v>181</v>
      </c>
      <c r="B7" s="5" t="s">
        <v>4</v>
      </c>
      <c r="C7" s="13">
        <v>1300</v>
      </c>
      <c r="D7" s="13">
        <v>1282</v>
      </c>
      <c r="E7" s="13">
        <v>1282</v>
      </c>
      <c r="F7" s="179">
        <v>1300</v>
      </c>
      <c r="G7" s="7">
        <f t="shared" si="0"/>
        <v>100</v>
      </c>
    </row>
    <row r="8" spans="1:8" s="8" customFormat="1" ht="15" customHeight="1" x14ac:dyDescent="0.25">
      <c r="A8" s="393" t="s">
        <v>343</v>
      </c>
      <c r="B8" s="394"/>
      <c r="C8" s="13">
        <v>17159</v>
      </c>
      <c r="D8" s="13">
        <f>69790.47+750</f>
        <v>70540.47</v>
      </c>
      <c r="E8" s="13">
        <v>12967.68447</v>
      </c>
      <c r="F8" s="6">
        <v>0</v>
      </c>
      <c r="G8" s="7">
        <f>F8/C8*100</f>
        <v>0</v>
      </c>
    </row>
    <row r="9" spans="1:8" s="8" customFormat="1" ht="15.75" customHeight="1" x14ac:dyDescent="0.25">
      <c r="A9" s="397" t="s">
        <v>5</v>
      </c>
      <c r="B9" s="398"/>
      <c r="C9" s="180">
        <f>SUM(C5:C8)</f>
        <v>41459</v>
      </c>
      <c r="D9" s="180">
        <f>SUM(D5:D8)</f>
        <v>106043.47</v>
      </c>
      <c r="E9" s="180">
        <f>SUM(E5:E8)</f>
        <v>31510.44831</v>
      </c>
      <c r="F9" s="9">
        <f>SUM(F5:F8)</f>
        <v>24300</v>
      </c>
      <c r="G9" s="10">
        <f t="shared" si="0"/>
        <v>58.612122820135561</v>
      </c>
    </row>
    <row r="10" spans="1:8" s="8" customFormat="1" ht="15" customHeight="1" x14ac:dyDescent="0.25">
      <c r="A10" s="138">
        <v>271</v>
      </c>
      <c r="B10" s="5" t="s">
        <v>347</v>
      </c>
      <c r="C10" s="13">
        <v>0</v>
      </c>
      <c r="D10" s="13">
        <v>0</v>
      </c>
      <c r="E10" s="13">
        <v>0</v>
      </c>
      <c r="F10" s="179">
        <v>15750</v>
      </c>
      <c r="G10" s="177" t="s">
        <v>237</v>
      </c>
      <c r="H10" s="139"/>
    </row>
    <row r="11" spans="1:8" s="8" customFormat="1" ht="15" customHeight="1" x14ac:dyDescent="0.25">
      <c r="A11" s="138">
        <v>272</v>
      </c>
      <c r="B11" s="5" t="s">
        <v>273</v>
      </c>
      <c r="C11" s="13">
        <v>21000</v>
      </c>
      <c r="D11" s="13">
        <v>26929</v>
      </c>
      <c r="E11" s="13">
        <v>25403.624920000002</v>
      </c>
      <c r="F11" s="179">
        <v>5424</v>
      </c>
      <c r="G11" s="7">
        <f t="shared" si="0"/>
        <v>25.828571428571429</v>
      </c>
      <c r="H11" s="139"/>
    </row>
    <row r="12" spans="1:8" s="8" customFormat="1" ht="15" customHeight="1" x14ac:dyDescent="0.25">
      <c r="A12" s="138">
        <v>273</v>
      </c>
      <c r="B12" s="5" t="s">
        <v>348</v>
      </c>
      <c r="C12" s="13">
        <v>0</v>
      </c>
      <c r="D12" s="13">
        <v>0</v>
      </c>
      <c r="E12" s="13">
        <v>0</v>
      </c>
      <c r="F12" s="6">
        <v>11250</v>
      </c>
      <c r="G12" s="177" t="s">
        <v>237</v>
      </c>
      <c r="H12" s="139"/>
    </row>
    <row r="13" spans="1:8" s="8" customFormat="1" ht="15" customHeight="1" x14ac:dyDescent="0.25">
      <c r="A13" s="138">
        <v>274</v>
      </c>
      <c r="B13" s="5" t="s">
        <v>349</v>
      </c>
      <c r="C13" s="13">
        <v>0</v>
      </c>
      <c r="D13" s="13">
        <v>3692.44</v>
      </c>
      <c r="E13" s="13">
        <v>3692.4241200000001</v>
      </c>
      <c r="F13" s="6">
        <v>2832</v>
      </c>
      <c r="G13" s="177" t="s">
        <v>237</v>
      </c>
      <c r="H13" s="139"/>
    </row>
    <row r="14" spans="1:8" s="8" customFormat="1" ht="15" customHeight="1" x14ac:dyDescent="0.25">
      <c r="A14" s="138">
        <v>275</v>
      </c>
      <c r="B14" s="5" t="s">
        <v>274</v>
      </c>
      <c r="C14" s="13">
        <v>4165</v>
      </c>
      <c r="D14" s="13">
        <v>2127.4499999999998</v>
      </c>
      <c r="E14" s="13">
        <v>1194.0712100000001</v>
      </c>
      <c r="F14" s="6">
        <v>1171</v>
      </c>
      <c r="G14" s="7">
        <f t="shared" si="0"/>
        <v>28.115246098439378</v>
      </c>
      <c r="H14" s="139"/>
    </row>
    <row r="15" spans="1:8" s="8" customFormat="1" ht="15" customHeight="1" x14ac:dyDescent="0.25">
      <c r="A15" s="138">
        <v>276</v>
      </c>
      <c r="B15" s="5" t="s">
        <v>233</v>
      </c>
      <c r="C15" s="13">
        <v>550</v>
      </c>
      <c r="D15" s="13">
        <v>550</v>
      </c>
      <c r="E15" s="13">
        <v>320</v>
      </c>
      <c r="F15" s="6">
        <v>68</v>
      </c>
      <c r="G15" s="7">
        <f t="shared" si="0"/>
        <v>12.363636363636363</v>
      </c>
    </row>
    <row r="16" spans="1:8" s="8" customFormat="1" ht="15" customHeight="1" x14ac:dyDescent="0.25">
      <c r="A16" s="138">
        <v>277</v>
      </c>
      <c r="B16" s="5" t="s">
        <v>178</v>
      </c>
      <c r="C16" s="13">
        <v>98</v>
      </c>
      <c r="D16" s="13">
        <v>98</v>
      </c>
      <c r="E16" s="13">
        <v>0</v>
      </c>
      <c r="F16" s="6">
        <v>98</v>
      </c>
      <c r="G16" s="7">
        <f t="shared" si="0"/>
        <v>100</v>
      </c>
    </row>
    <row r="17" spans="1:8" s="8" customFormat="1" ht="15" customHeight="1" x14ac:dyDescent="0.25">
      <c r="A17" s="138">
        <v>278</v>
      </c>
      <c r="B17" s="14" t="s">
        <v>350</v>
      </c>
      <c r="C17" s="13">
        <v>0</v>
      </c>
      <c r="D17" s="13">
        <v>0</v>
      </c>
      <c r="E17" s="13">
        <v>0</v>
      </c>
      <c r="F17" s="6">
        <v>2250</v>
      </c>
      <c r="G17" s="177" t="s">
        <v>237</v>
      </c>
    </row>
    <row r="18" spans="1:8" s="8" customFormat="1" ht="15" customHeight="1" x14ac:dyDescent="0.25">
      <c r="A18" s="138">
        <v>279</v>
      </c>
      <c r="B18" s="14" t="s">
        <v>351</v>
      </c>
      <c r="C18" s="13">
        <v>0</v>
      </c>
      <c r="D18" s="13">
        <v>0</v>
      </c>
      <c r="E18" s="13">
        <v>0</v>
      </c>
      <c r="F18" s="6">
        <v>4050</v>
      </c>
      <c r="G18" s="177" t="s">
        <v>237</v>
      </c>
    </row>
    <row r="19" spans="1:8" s="8" customFormat="1" ht="15" customHeight="1" x14ac:dyDescent="0.25">
      <c r="A19" s="138">
        <v>280</v>
      </c>
      <c r="B19" s="14" t="s">
        <v>352</v>
      </c>
      <c r="C19" s="13">
        <v>0</v>
      </c>
      <c r="D19" s="13">
        <v>0</v>
      </c>
      <c r="E19" s="13">
        <v>0</v>
      </c>
      <c r="F19" s="6">
        <v>1500</v>
      </c>
      <c r="G19" s="177" t="s">
        <v>237</v>
      </c>
    </row>
    <row r="20" spans="1:8" s="8" customFormat="1" ht="15" customHeight="1" x14ac:dyDescent="0.25">
      <c r="A20" s="138">
        <v>282</v>
      </c>
      <c r="B20" s="12" t="s">
        <v>353</v>
      </c>
      <c r="C20" s="13">
        <v>0</v>
      </c>
      <c r="D20" s="13">
        <v>0</v>
      </c>
      <c r="E20" s="13">
        <v>0</v>
      </c>
      <c r="F20" s="6">
        <v>1125</v>
      </c>
      <c r="G20" s="177" t="s">
        <v>237</v>
      </c>
    </row>
    <row r="21" spans="1:8" s="8" customFormat="1" ht="15" customHeight="1" x14ac:dyDescent="0.25">
      <c r="A21" s="138">
        <v>283</v>
      </c>
      <c r="B21" s="12" t="s">
        <v>275</v>
      </c>
      <c r="C21" s="13">
        <v>1500</v>
      </c>
      <c r="D21" s="13">
        <v>1500.0000000000005</v>
      </c>
      <c r="E21" s="13">
        <v>1403.3500000000004</v>
      </c>
      <c r="F21" s="6">
        <v>1500</v>
      </c>
      <c r="G21" s="7">
        <f t="shared" si="0"/>
        <v>100</v>
      </c>
    </row>
    <row r="22" spans="1:8" s="8" customFormat="1" ht="15" customHeight="1" x14ac:dyDescent="0.25">
      <c r="A22" s="138">
        <v>284</v>
      </c>
      <c r="B22" s="12" t="s">
        <v>354</v>
      </c>
      <c r="C22" s="13">
        <v>0</v>
      </c>
      <c r="D22" s="13">
        <v>0</v>
      </c>
      <c r="E22" s="13">
        <v>0</v>
      </c>
      <c r="F22" s="6">
        <v>13500</v>
      </c>
      <c r="G22" s="177" t="s">
        <v>237</v>
      </c>
    </row>
    <row r="23" spans="1:8" s="8" customFormat="1" ht="15" customHeight="1" x14ac:dyDescent="0.25">
      <c r="A23" s="138">
        <v>285</v>
      </c>
      <c r="B23" s="12" t="s">
        <v>276</v>
      </c>
      <c r="C23" s="13">
        <v>18000</v>
      </c>
      <c r="D23" s="13">
        <v>28070</v>
      </c>
      <c r="E23" s="13">
        <v>18986.159999999996</v>
      </c>
      <c r="F23" s="179">
        <v>7018</v>
      </c>
      <c r="G23" s="7">
        <f t="shared" si="0"/>
        <v>38.988888888888887</v>
      </c>
    </row>
    <row r="24" spans="1:8" s="8" customFormat="1" ht="15" customHeight="1" x14ac:dyDescent="0.25">
      <c r="A24" s="138">
        <v>286</v>
      </c>
      <c r="B24" s="12" t="s">
        <v>355</v>
      </c>
      <c r="C24" s="13">
        <v>0</v>
      </c>
      <c r="D24" s="13">
        <v>2752.85</v>
      </c>
      <c r="E24" s="13">
        <v>2152.8426799999997</v>
      </c>
      <c r="F24" s="179">
        <v>600</v>
      </c>
      <c r="G24" s="177" t="s">
        <v>237</v>
      </c>
    </row>
    <row r="25" spans="1:8" s="8" customFormat="1" ht="15" customHeight="1" x14ac:dyDescent="0.25">
      <c r="A25" s="138">
        <v>288</v>
      </c>
      <c r="B25" s="12" t="s">
        <v>234</v>
      </c>
      <c r="C25" s="13">
        <v>4000</v>
      </c>
      <c r="D25" s="13">
        <v>4000</v>
      </c>
      <c r="E25" s="13">
        <v>0</v>
      </c>
      <c r="F25" s="6">
        <v>3000</v>
      </c>
      <c r="G25" s="7">
        <f t="shared" ref="G25:G26" si="1">F25/C25*100</f>
        <v>75</v>
      </c>
    </row>
    <row r="26" spans="1:8" s="8" customFormat="1" ht="15" customHeight="1" x14ac:dyDescent="0.25">
      <c r="A26" s="393" t="s">
        <v>344</v>
      </c>
      <c r="B26" s="394"/>
      <c r="C26" s="13">
        <v>33702</v>
      </c>
      <c r="D26" s="13">
        <f>39030.76+5068.51</f>
        <v>44099.270000000004</v>
      </c>
      <c r="E26" s="13">
        <f>9327.91286+5009.295</f>
        <v>14337.20786</v>
      </c>
      <c r="F26" s="6">
        <v>0</v>
      </c>
      <c r="G26" s="7">
        <f t="shared" si="1"/>
        <v>0</v>
      </c>
    </row>
    <row r="27" spans="1:8" s="8" customFormat="1" ht="15.75" customHeight="1" x14ac:dyDescent="0.25">
      <c r="A27" s="397" t="s">
        <v>6</v>
      </c>
      <c r="B27" s="398"/>
      <c r="C27" s="180">
        <f>SUM(C10:C26)</f>
        <v>83015</v>
      </c>
      <c r="D27" s="180">
        <f>SUM(D10:D26)</f>
        <v>113819.01000000001</v>
      </c>
      <c r="E27" s="180">
        <f>SUM(E10:E26)</f>
        <v>67489.680789999999</v>
      </c>
      <c r="F27" s="9">
        <f>SUM(F10:F26)</f>
        <v>71136</v>
      </c>
      <c r="G27" s="10">
        <f>F27/C27*100</f>
        <v>85.690537854604585</v>
      </c>
    </row>
    <row r="28" spans="1:8" s="8" customFormat="1" ht="24" customHeight="1" x14ac:dyDescent="0.25">
      <c r="A28" s="138">
        <v>309</v>
      </c>
      <c r="B28" s="5" t="s">
        <v>356</v>
      </c>
      <c r="C28" s="13">
        <v>0</v>
      </c>
      <c r="D28" s="13">
        <v>0</v>
      </c>
      <c r="E28" s="13">
        <v>0</v>
      </c>
      <c r="F28" s="6">
        <v>4900</v>
      </c>
      <c r="G28" s="177" t="s">
        <v>237</v>
      </c>
      <c r="H28" s="139"/>
    </row>
    <row r="29" spans="1:8" s="8" customFormat="1" ht="24" customHeight="1" x14ac:dyDescent="0.25">
      <c r="A29" s="138">
        <v>310</v>
      </c>
      <c r="B29" s="5" t="s">
        <v>196</v>
      </c>
      <c r="C29" s="13">
        <v>2668</v>
      </c>
      <c r="D29" s="13">
        <v>1548.04</v>
      </c>
      <c r="E29" s="13">
        <v>1547.8719599999999</v>
      </c>
      <c r="F29" s="6">
        <v>1335</v>
      </c>
      <c r="G29" s="7">
        <f t="shared" ref="G29" si="2">F29/C29*100</f>
        <v>50.037481259370317</v>
      </c>
      <c r="H29" s="139"/>
    </row>
    <row r="30" spans="1:8" s="8" customFormat="1" ht="15" customHeight="1" x14ac:dyDescent="0.25">
      <c r="A30" s="138">
        <v>312</v>
      </c>
      <c r="B30" s="5" t="s">
        <v>179</v>
      </c>
      <c r="C30" s="13">
        <v>2000</v>
      </c>
      <c r="D30" s="13">
        <v>1839.8999999999999</v>
      </c>
      <c r="E30" s="13">
        <v>919.94999999999993</v>
      </c>
      <c r="F30" s="6">
        <v>2000</v>
      </c>
      <c r="G30" s="7">
        <f t="shared" si="0"/>
        <v>100</v>
      </c>
    </row>
    <row r="31" spans="1:8" s="8" customFormat="1" ht="24" customHeight="1" x14ac:dyDescent="0.25">
      <c r="A31" s="138">
        <v>314</v>
      </c>
      <c r="B31" s="5" t="s">
        <v>357</v>
      </c>
      <c r="C31" s="13">
        <v>0</v>
      </c>
      <c r="D31" s="13">
        <v>0</v>
      </c>
      <c r="E31" s="13">
        <v>0</v>
      </c>
      <c r="F31" s="6">
        <v>5000</v>
      </c>
      <c r="G31" s="177" t="s">
        <v>237</v>
      </c>
    </row>
    <row r="32" spans="1:8" s="8" customFormat="1" ht="24" customHeight="1" x14ac:dyDescent="0.25">
      <c r="A32" s="138">
        <v>315</v>
      </c>
      <c r="B32" s="5" t="s">
        <v>358</v>
      </c>
      <c r="C32" s="13">
        <v>2625</v>
      </c>
      <c r="D32" s="13">
        <v>2603.3000000000002</v>
      </c>
      <c r="E32" s="13">
        <v>1564.6</v>
      </c>
      <c r="F32" s="6">
        <v>326</v>
      </c>
      <c r="G32" s="7">
        <f t="shared" si="0"/>
        <v>12.419047619047618</v>
      </c>
    </row>
    <row r="33" spans="1:7" s="8" customFormat="1" ht="15" customHeight="1" x14ac:dyDescent="0.25">
      <c r="A33" s="138">
        <v>316</v>
      </c>
      <c r="B33" s="11" t="s">
        <v>180</v>
      </c>
      <c r="C33" s="13">
        <v>4000</v>
      </c>
      <c r="D33" s="13">
        <v>4519.2</v>
      </c>
      <c r="E33" s="13">
        <v>1247</v>
      </c>
      <c r="F33" s="6">
        <v>4000</v>
      </c>
      <c r="G33" s="7">
        <f t="shared" si="0"/>
        <v>100</v>
      </c>
    </row>
    <row r="34" spans="1:7" s="8" customFormat="1" ht="15" customHeight="1" x14ac:dyDescent="0.25">
      <c r="A34" s="138">
        <v>317</v>
      </c>
      <c r="B34" s="11" t="s">
        <v>359</v>
      </c>
      <c r="C34" s="13">
        <v>0</v>
      </c>
      <c r="D34" s="13">
        <v>0</v>
      </c>
      <c r="E34" s="13">
        <v>0</v>
      </c>
      <c r="F34" s="6">
        <v>2004</v>
      </c>
      <c r="G34" s="177" t="s">
        <v>237</v>
      </c>
    </row>
    <row r="35" spans="1:7" s="8" customFormat="1" ht="15" customHeight="1" x14ac:dyDescent="0.25">
      <c r="A35" s="138">
        <v>318</v>
      </c>
      <c r="B35" s="11" t="s">
        <v>277</v>
      </c>
      <c r="C35" s="13">
        <v>2004</v>
      </c>
      <c r="D35" s="13">
        <v>2004</v>
      </c>
      <c r="E35" s="13">
        <v>0</v>
      </c>
      <c r="F35" s="6">
        <v>2496</v>
      </c>
      <c r="G35" s="7">
        <f t="shared" si="0"/>
        <v>124.55089820359282</v>
      </c>
    </row>
    <row r="36" spans="1:7" s="8" customFormat="1" ht="15" customHeight="1" x14ac:dyDescent="0.25">
      <c r="A36" s="138">
        <v>319</v>
      </c>
      <c r="B36" s="14" t="s">
        <v>360</v>
      </c>
      <c r="C36" s="13">
        <v>0</v>
      </c>
      <c r="D36" s="13">
        <v>0</v>
      </c>
      <c r="E36" s="13">
        <v>0</v>
      </c>
      <c r="F36" s="6">
        <v>20000</v>
      </c>
      <c r="G36" s="177" t="s">
        <v>237</v>
      </c>
    </row>
    <row r="37" spans="1:7" s="8" customFormat="1" ht="15" customHeight="1" x14ac:dyDescent="0.25">
      <c r="A37" s="138">
        <v>320</v>
      </c>
      <c r="B37" s="14" t="s">
        <v>278</v>
      </c>
      <c r="C37" s="13">
        <v>20500</v>
      </c>
      <c r="D37" s="13">
        <v>19149.100000000002</v>
      </c>
      <c r="E37" s="13">
        <v>4168.6000000000004</v>
      </c>
      <c r="F37" s="179">
        <v>1535</v>
      </c>
      <c r="G37" s="7">
        <f t="shared" si="0"/>
        <v>7.48780487804878</v>
      </c>
    </row>
    <row r="38" spans="1:7" s="8" customFormat="1" ht="15" customHeight="1" x14ac:dyDescent="0.25">
      <c r="A38" s="138">
        <v>322</v>
      </c>
      <c r="B38" s="14" t="s">
        <v>197</v>
      </c>
      <c r="C38" s="13">
        <v>2768</v>
      </c>
      <c r="D38" s="13">
        <v>9322.15</v>
      </c>
      <c r="E38" s="13">
        <v>5612.3698599999998</v>
      </c>
      <c r="F38" s="179">
        <v>789</v>
      </c>
      <c r="G38" s="7">
        <f t="shared" si="0"/>
        <v>28.50433526011561</v>
      </c>
    </row>
    <row r="39" spans="1:7" s="8" customFormat="1" ht="15" customHeight="1" x14ac:dyDescent="0.25">
      <c r="A39" s="138">
        <v>324</v>
      </c>
      <c r="B39" s="14" t="s">
        <v>361</v>
      </c>
      <c r="C39" s="13">
        <v>0</v>
      </c>
      <c r="D39" s="13">
        <v>0</v>
      </c>
      <c r="E39" s="13">
        <v>0</v>
      </c>
      <c r="F39" s="179">
        <v>2250</v>
      </c>
      <c r="G39" s="177" t="s">
        <v>237</v>
      </c>
    </row>
    <row r="40" spans="1:7" s="8" customFormat="1" ht="15" customHeight="1" x14ac:dyDescent="0.25">
      <c r="A40" s="138">
        <v>325</v>
      </c>
      <c r="B40" s="14" t="s">
        <v>362</v>
      </c>
      <c r="C40" s="13">
        <v>3250</v>
      </c>
      <c r="D40" s="13">
        <v>3490.4000000000005</v>
      </c>
      <c r="E40" s="13">
        <v>3009.6000000000004</v>
      </c>
      <c r="F40" s="179">
        <v>3011</v>
      </c>
      <c r="G40" s="7">
        <f t="shared" si="0"/>
        <v>92.646153846153851</v>
      </c>
    </row>
    <row r="41" spans="1:7" s="8" customFormat="1" ht="15" customHeight="1" x14ac:dyDescent="0.25">
      <c r="A41" s="393" t="s">
        <v>345</v>
      </c>
      <c r="B41" s="394"/>
      <c r="C41" s="13">
        <v>5686</v>
      </c>
      <c r="D41" s="13">
        <f>5806+1517.68</f>
        <v>7323.68</v>
      </c>
      <c r="E41" s="13">
        <f>3243.90788+1117.68</f>
        <v>4361.58788</v>
      </c>
      <c r="F41" s="179">
        <v>0</v>
      </c>
      <c r="G41" s="7">
        <f t="shared" si="0"/>
        <v>0</v>
      </c>
    </row>
    <row r="42" spans="1:7" s="8" customFormat="1" ht="15.75" customHeight="1" x14ac:dyDescent="0.25">
      <c r="A42" s="397" t="s">
        <v>7</v>
      </c>
      <c r="B42" s="398"/>
      <c r="C42" s="180">
        <f>SUM(C28:C41)</f>
        <v>45501</v>
      </c>
      <c r="D42" s="180">
        <f>SUM(D28:D41)</f>
        <v>51799.770000000004</v>
      </c>
      <c r="E42" s="180">
        <f>SUM(E28:E41)</f>
        <v>22431.579700000002</v>
      </c>
      <c r="F42" s="178">
        <f>SUM(F28:F41)</f>
        <v>49646</v>
      </c>
      <c r="G42" s="10">
        <f t="shared" ref="G42:G63" si="3">F42/C42*100</f>
        <v>109.10968989692533</v>
      </c>
    </row>
    <row r="43" spans="1:7" s="8" customFormat="1" ht="15" customHeight="1" x14ac:dyDescent="0.25">
      <c r="A43" s="138">
        <v>347</v>
      </c>
      <c r="B43" s="5" t="s">
        <v>364</v>
      </c>
      <c r="C43" s="13">
        <v>3000</v>
      </c>
      <c r="D43" s="13">
        <v>2717.1</v>
      </c>
      <c r="E43" s="13">
        <v>2717.1</v>
      </c>
      <c r="F43" s="179">
        <v>2000</v>
      </c>
      <c r="G43" s="7">
        <f t="shared" si="3"/>
        <v>66.666666666666657</v>
      </c>
    </row>
    <row r="44" spans="1:7" s="8" customFormat="1" ht="24" customHeight="1" x14ac:dyDescent="0.25">
      <c r="A44" s="138">
        <v>348</v>
      </c>
      <c r="B44" s="5" t="s">
        <v>279</v>
      </c>
      <c r="C44" s="13">
        <v>1000</v>
      </c>
      <c r="D44" s="13">
        <v>1000</v>
      </c>
      <c r="E44" s="13">
        <v>1000</v>
      </c>
      <c r="F44" s="179">
        <v>1000</v>
      </c>
      <c r="G44" s="7">
        <f t="shared" si="3"/>
        <v>100</v>
      </c>
    </row>
    <row r="45" spans="1:7" s="8" customFormat="1" ht="24" customHeight="1" x14ac:dyDescent="0.25">
      <c r="A45" s="138">
        <v>349</v>
      </c>
      <c r="B45" s="5" t="s">
        <v>8</v>
      </c>
      <c r="C45" s="13">
        <v>5000</v>
      </c>
      <c r="D45" s="13">
        <v>6407.3</v>
      </c>
      <c r="E45" s="13">
        <v>6407.3</v>
      </c>
      <c r="F45" s="179">
        <v>5000</v>
      </c>
      <c r="G45" s="7">
        <f t="shared" si="3"/>
        <v>100</v>
      </c>
    </row>
    <row r="46" spans="1:7" s="8" customFormat="1" ht="24" customHeight="1" x14ac:dyDescent="0.25">
      <c r="A46" s="138">
        <v>350</v>
      </c>
      <c r="B46" s="5" t="s">
        <v>9</v>
      </c>
      <c r="C46" s="13">
        <v>30000</v>
      </c>
      <c r="D46" s="13">
        <v>31680.200000000008</v>
      </c>
      <c r="E46" s="13">
        <v>30236.965000000007</v>
      </c>
      <c r="F46" s="179">
        <v>30000</v>
      </c>
      <c r="G46" s="7">
        <f t="shared" si="3"/>
        <v>100</v>
      </c>
    </row>
    <row r="47" spans="1:7" s="8" customFormat="1" ht="24" customHeight="1" x14ac:dyDescent="0.25">
      <c r="A47" s="138">
        <v>351</v>
      </c>
      <c r="B47" s="5" t="s">
        <v>365</v>
      </c>
      <c r="C47" s="13">
        <v>4500</v>
      </c>
      <c r="D47" s="13">
        <v>5203.3</v>
      </c>
      <c r="E47" s="13">
        <v>5203.3</v>
      </c>
      <c r="F47" s="179">
        <v>4500</v>
      </c>
      <c r="G47" s="7">
        <f t="shared" si="3"/>
        <v>100</v>
      </c>
    </row>
    <row r="48" spans="1:7" s="8" customFormat="1" ht="24" customHeight="1" x14ac:dyDescent="0.25">
      <c r="A48" s="138">
        <v>352</v>
      </c>
      <c r="B48" s="5" t="s">
        <v>10</v>
      </c>
      <c r="C48" s="13">
        <v>90000</v>
      </c>
      <c r="D48" s="13">
        <v>90000</v>
      </c>
      <c r="E48" s="13">
        <v>0</v>
      </c>
      <c r="F48" s="179">
        <v>87000</v>
      </c>
      <c r="G48" s="7">
        <f t="shared" si="3"/>
        <v>96.666666666666671</v>
      </c>
    </row>
    <row r="49" spans="1:7" s="8" customFormat="1" ht="15" customHeight="1" x14ac:dyDescent="0.25">
      <c r="A49" s="138">
        <v>354</v>
      </c>
      <c r="B49" s="5" t="s">
        <v>170</v>
      </c>
      <c r="C49" s="13">
        <v>3000</v>
      </c>
      <c r="D49" s="13">
        <v>3052.9</v>
      </c>
      <c r="E49" s="13">
        <v>2956.9</v>
      </c>
      <c r="F49" s="6">
        <v>3000</v>
      </c>
      <c r="G49" s="7">
        <f t="shared" si="3"/>
        <v>100</v>
      </c>
    </row>
    <row r="50" spans="1:7" s="8" customFormat="1" ht="15" customHeight="1" x14ac:dyDescent="0.25">
      <c r="A50" s="138">
        <v>355</v>
      </c>
      <c r="B50" s="5" t="s">
        <v>366</v>
      </c>
      <c r="C50" s="13">
        <v>0</v>
      </c>
      <c r="D50" s="13">
        <v>0</v>
      </c>
      <c r="E50" s="13">
        <v>0</v>
      </c>
      <c r="F50" s="6">
        <v>3000</v>
      </c>
      <c r="G50" s="177" t="s">
        <v>237</v>
      </c>
    </row>
    <row r="51" spans="1:7" s="8" customFormat="1" ht="22.5" customHeight="1" x14ac:dyDescent="0.25">
      <c r="A51" s="138">
        <v>356</v>
      </c>
      <c r="B51" s="5" t="s">
        <v>11</v>
      </c>
      <c r="C51" s="13">
        <v>199869</v>
      </c>
      <c r="D51" s="13">
        <v>199765</v>
      </c>
      <c r="E51" s="13">
        <v>199765</v>
      </c>
      <c r="F51" s="6">
        <v>199842</v>
      </c>
      <c r="G51" s="7">
        <f t="shared" si="3"/>
        <v>99.986491151704371</v>
      </c>
    </row>
    <row r="52" spans="1:7" s="8" customFormat="1" ht="15.75" customHeight="1" x14ac:dyDescent="0.25">
      <c r="A52" s="397" t="s">
        <v>12</v>
      </c>
      <c r="B52" s="398"/>
      <c r="C52" s="180">
        <f>SUM(C43:C51)</f>
        <v>336369</v>
      </c>
      <c r="D52" s="180">
        <f>SUM(D43:D51)</f>
        <v>339825.80000000005</v>
      </c>
      <c r="E52" s="180">
        <f>SUM(E43:E51)</f>
        <v>248286.565</v>
      </c>
      <c r="F52" s="178">
        <f>SUM(F43:F51)</f>
        <v>335342</v>
      </c>
      <c r="G52" s="10">
        <f t="shared" si="3"/>
        <v>99.694680544283216</v>
      </c>
    </row>
    <row r="53" spans="1:7" s="8" customFormat="1" ht="15" customHeight="1" x14ac:dyDescent="0.25">
      <c r="A53" s="138">
        <v>446</v>
      </c>
      <c r="B53" s="132" t="s">
        <v>13</v>
      </c>
      <c r="C53" s="13">
        <v>44110</v>
      </c>
      <c r="D53" s="13">
        <v>44110</v>
      </c>
      <c r="E53" s="13">
        <v>42510</v>
      </c>
      <c r="F53" s="179">
        <v>44110</v>
      </c>
      <c r="G53" s="7">
        <f t="shared" si="3"/>
        <v>100</v>
      </c>
    </row>
    <row r="54" spans="1:7" s="8" customFormat="1" ht="15" customHeight="1" x14ac:dyDescent="0.25">
      <c r="A54" s="166">
        <v>447</v>
      </c>
      <c r="B54" s="167" t="s">
        <v>198</v>
      </c>
      <c r="C54" s="13">
        <v>8128</v>
      </c>
      <c r="D54" s="13">
        <v>8128</v>
      </c>
      <c r="E54" s="13">
        <v>6021.0439999999999</v>
      </c>
      <c r="F54" s="179">
        <v>8128</v>
      </c>
      <c r="G54" s="7">
        <f t="shared" si="3"/>
        <v>100</v>
      </c>
    </row>
    <row r="55" spans="1:7" s="8" customFormat="1" ht="15" customHeight="1" x14ac:dyDescent="0.25">
      <c r="A55" s="166">
        <v>448</v>
      </c>
      <c r="B55" s="167" t="s">
        <v>238</v>
      </c>
      <c r="C55" s="13">
        <v>3000</v>
      </c>
      <c r="D55" s="13">
        <v>3250</v>
      </c>
      <c r="E55" s="13">
        <v>3104</v>
      </c>
      <c r="F55" s="179">
        <v>3000</v>
      </c>
      <c r="G55" s="7">
        <f t="shared" si="3"/>
        <v>100</v>
      </c>
    </row>
    <row r="56" spans="1:7" s="8" customFormat="1" ht="15" customHeight="1" x14ac:dyDescent="0.25">
      <c r="A56" s="166">
        <v>449</v>
      </c>
      <c r="B56" s="167" t="s">
        <v>199</v>
      </c>
      <c r="C56" s="13">
        <v>3000</v>
      </c>
      <c r="D56" s="13">
        <v>3000</v>
      </c>
      <c r="E56" s="13">
        <v>2996.5</v>
      </c>
      <c r="F56" s="179">
        <v>3000</v>
      </c>
      <c r="G56" s="7">
        <f t="shared" si="3"/>
        <v>100</v>
      </c>
    </row>
    <row r="57" spans="1:7" s="8" customFormat="1" ht="15.75" customHeight="1" x14ac:dyDescent="0.25">
      <c r="A57" s="400" t="s">
        <v>14</v>
      </c>
      <c r="B57" s="401"/>
      <c r="C57" s="180">
        <f>SUM(C53:C56)</f>
        <v>58238</v>
      </c>
      <c r="D57" s="180">
        <f>SUM(D53:D56)</f>
        <v>58488</v>
      </c>
      <c r="E57" s="180">
        <f>SUM(E53:E56)</f>
        <v>54631.544000000002</v>
      </c>
      <c r="F57" s="178">
        <f>SUM(F53:F56)</f>
        <v>58238</v>
      </c>
      <c r="G57" s="10">
        <f t="shared" si="3"/>
        <v>100</v>
      </c>
    </row>
    <row r="58" spans="1:7" s="8" customFormat="1" ht="15" customHeight="1" x14ac:dyDescent="0.25">
      <c r="A58" s="138">
        <v>776</v>
      </c>
      <c r="B58" s="5" t="s">
        <v>200</v>
      </c>
      <c r="C58" s="13">
        <v>1000</v>
      </c>
      <c r="D58" s="13">
        <v>1322.5</v>
      </c>
      <c r="E58" s="13">
        <v>1322.5</v>
      </c>
      <c r="F58" s="179">
        <v>1000</v>
      </c>
      <c r="G58" s="7">
        <f t="shared" si="3"/>
        <v>100</v>
      </c>
    </row>
    <row r="59" spans="1:7" s="8" customFormat="1" ht="15" customHeight="1" x14ac:dyDescent="0.25">
      <c r="A59" s="166">
        <v>777</v>
      </c>
      <c r="B59" s="12" t="s">
        <v>235</v>
      </c>
      <c r="C59" s="13">
        <v>1000</v>
      </c>
      <c r="D59" s="13">
        <v>1400</v>
      </c>
      <c r="E59" s="13">
        <v>600</v>
      </c>
      <c r="F59" s="179">
        <v>1000</v>
      </c>
      <c r="G59" s="7">
        <f t="shared" si="3"/>
        <v>100</v>
      </c>
    </row>
    <row r="60" spans="1:7" s="8" customFormat="1" ht="15" customHeight="1" x14ac:dyDescent="0.25">
      <c r="A60" s="166">
        <v>778</v>
      </c>
      <c r="B60" s="12" t="s">
        <v>30</v>
      </c>
      <c r="C60" s="13">
        <v>3000</v>
      </c>
      <c r="D60" s="13">
        <v>3000</v>
      </c>
      <c r="E60" s="13">
        <v>3000</v>
      </c>
      <c r="F60" s="179">
        <v>3000</v>
      </c>
      <c r="G60" s="7">
        <f t="shared" si="3"/>
        <v>100</v>
      </c>
    </row>
    <row r="61" spans="1:7" s="8" customFormat="1" ht="15" customHeight="1" x14ac:dyDescent="0.25">
      <c r="A61" s="166">
        <v>779</v>
      </c>
      <c r="B61" s="12" t="s">
        <v>236</v>
      </c>
      <c r="C61" s="13">
        <v>3000</v>
      </c>
      <c r="D61" s="13">
        <v>3000</v>
      </c>
      <c r="E61" s="13">
        <v>3000</v>
      </c>
      <c r="F61" s="179">
        <v>3000</v>
      </c>
      <c r="G61" s="7">
        <f t="shared" ref="G61" si="4">F61/C61*100</f>
        <v>100</v>
      </c>
    </row>
    <row r="62" spans="1:7" s="8" customFormat="1" ht="15.75" customHeight="1" x14ac:dyDescent="0.25">
      <c r="A62" s="397" t="s">
        <v>15</v>
      </c>
      <c r="B62" s="398"/>
      <c r="C62" s="180">
        <f>SUM(C58:C61)</f>
        <v>8000</v>
      </c>
      <c r="D62" s="180">
        <f>SUM(D58:D61)</f>
        <v>8722.5</v>
      </c>
      <c r="E62" s="180">
        <f>SUM(E58:E61)</f>
        <v>7922.5</v>
      </c>
      <c r="F62" s="178">
        <f>SUM(F58:F61)</f>
        <v>8000</v>
      </c>
      <c r="G62" s="10">
        <f t="shared" si="3"/>
        <v>100</v>
      </c>
    </row>
    <row r="63" spans="1:7" s="8" customFormat="1" ht="15" customHeight="1" x14ac:dyDescent="0.25">
      <c r="A63" s="138">
        <v>861</v>
      </c>
      <c r="B63" s="5" t="s">
        <v>16</v>
      </c>
      <c r="C63" s="13">
        <v>15000</v>
      </c>
      <c r="D63" s="13">
        <v>48435.209999999992</v>
      </c>
      <c r="E63" s="13">
        <v>7618.368010000002</v>
      </c>
      <c r="F63" s="179">
        <v>15000</v>
      </c>
      <c r="G63" s="7">
        <f t="shared" si="3"/>
        <v>100</v>
      </c>
    </row>
    <row r="64" spans="1:7" s="8" customFormat="1" ht="15" customHeight="1" x14ac:dyDescent="0.25">
      <c r="A64" s="138">
        <v>862</v>
      </c>
      <c r="B64" s="5" t="s">
        <v>280</v>
      </c>
      <c r="C64" s="13">
        <v>2400</v>
      </c>
      <c r="D64" s="13">
        <v>3606.4</v>
      </c>
      <c r="E64" s="13">
        <v>1505.08159</v>
      </c>
      <c r="F64" s="179">
        <v>1800</v>
      </c>
      <c r="G64" s="7">
        <f>F64/C64*100</f>
        <v>75</v>
      </c>
    </row>
    <row r="65" spans="1:7" s="8" customFormat="1" ht="15" customHeight="1" x14ac:dyDescent="0.25">
      <c r="A65" s="138">
        <v>863</v>
      </c>
      <c r="B65" s="5" t="s">
        <v>33</v>
      </c>
      <c r="C65" s="13">
        <v>3000</v>
      </c>
      <c r="D65" s="13">
        <v>3035.1000000000004</v>
      </c>
      <c r="E65" s="13">
        <v>46.2</v>
      </c>
      <c r="F65" s="179">
        <v>3000</v>
      </c>
      <c r="G65" s="7">
        <f>F65/C65*100</f>
        <v>100</v>
      </c>
    </row>
    <row r="66" spans="1:7" s="8" customFormat="1" ht="15" customHeight="1" x14ac:dyDescent="0.25">
      <c r="A66" s="138">
        <v>864</v>
      </c>
      <c r="B66" s="5" t="s">
        <v>171</v>
      </c>
      <c r="C66" s="13">
        <v>1500</v>
      </c>
      <c r="D66" s="13">
        <v>1895.0000000000002</v>
      </c>
      <c r="E66" s="13">
        <v>108.47999999999999</v>
      </c>
      <c r="F66" s="179">
        <v>1125</v>
      </c>
      <c r="G66" s="7">
        <f t="shared" ref="G66" si="5">F66/C66*100</f>
        <v>75</v>
      </c>
    </row>
    <row r="67" spans="1:7" s="8" customFormat="1" ht="15" customHeight="1" x14ac:dyDescent="0.25">
      <c r="A67" s="393" t="s">
        <v>346</v>
      </c>
      <c r="B67" s="394"/>
      <c r="C67" s="13">
        <v>3000</v>
      </c>
      <c r="D67" s="13">
        <v>2000</v>
      </c>
      <c r="E67" s="13">
        <v>0</v>
      </c>
      <c r="F67" s="179">
        <v>0</v>
      </c>
      <c r="G67" s="7">
        <f t="shared" ref="G67" si="6">F67/C67*100</f>
        <v>0</v>
      </c>
    </row>
    <row r="68" spans="1:7" s="8" customFormat="1" ht="15.75" customHeight="1" x14ac:dyDescent="0.25">
      <c r="A68" s="397" t="s">
        <v>17</v>
      </c>
      <c r="B68" s="398"/>
      <c r="C68" s="180">
        <f>SUM(C63:C67)</f>
        <v>24900</v>
      </c>
      <c r="D68" s="180">
        <f>SUM(D63:D67)</f>
        <v>58971.709999999992</v>
      </c>
      <c r="E68" s="180">
        <f>SUM(E63:E67)</f>
        <v>9278.129600000002</v>
      </c>
      <c r="F68" s="9">
        <f>SUM(F63:F67)</f>
        <v>20925</v>
      </c>
      <c r="G68" s="10">
        <f>F68/C68*100</f>
        <v>84.036144578313255</v>
      </c>
    </row>
    <row r="69" spans="1:7" s="8" customFormat="1" ht="16.5" customHeight="1" thickBot="1" x14ac:dyDescent="0.3">
      <c r="A69" s="402" t="s">
        <v>18</v>
      </c>
      <c r="B69" s="403"/>
      <c r="C69" s="15">
        <f>C68+C62+C57+C52+C42+C27+C9+C4</f>
        <v>605482</v>
      </c>
      <c r="D69" s="15">
        <f>D68+D62+D57+D52+D42+D27+D9+D4</f>
        <v>746420.66</v>
      </c>
      <c r="E69" s="15">
        <f>E68+E62+E57+E52+E42+E27+E9+E4</f>
        <v>449043.24740000005</v>
      </c>
      <c r="F69" s="15">
        <f>F68+F62+F57+F52+F42+F27+F9+F4</f>
        <v>574787</v>
      </c>
      <c r="G69" s="16">
        <f>F69/C69*100</f>
        <v>94.930485134157578</v>
      </c>
    </row>
    <row r="70" spans="1:7" ht="11.25" thickBot="1" x14ac:dyDescent="0.2">
      <c r="B70" s="18"/>
      <c r="C70" s="19"/>
      <c r="D70" s="20"/>
      <c r="E70" s="20"/>
      <c r="F70" s="19"/>
      <c r="G70" s="21"/>
    </row>
    <row r="71" spans="1:7" ht="36" customHeight="1" x14ac:dyDescent="0.15">
      <c r="A71" s="404" t="s">
        <v>19</v>
      </c>
      <c r="B71" s="405"/>
      <c r="C71" s="2" t="s">
        <v>338</v>
      </c>
      <c r="D71" s="2" t="s">
        <v>339</v>
      </c>
      <c r="E71" s="2" t="s">
        <v>340</v>
      </c>
      <c r="F71" s="2" t="s">
        <v>341</v>
      </c>
      <c r="G71" s="3" t="s">
        <v>342</v>
      </c>
    </row>
    <row r="72" spans="1:7" ht="15" customHeight="1" x14ac:dyDescent="0.15">
      <c r="A72" s="393" t="s">
        <v>20</v>
      </c>
      <c r="B72" s="394"/>
      <c r="C72" s="13">
        <f>C4</f>
        <v>8000</v>
      </c>
      <c r="D72" s="13">
        <f>D4</f>
        <v>8750.4</v>
      </c>
      <c r="E72" s="13">
        <f>E4</f>
        <v>7492.8</v>
      </c>
      <c r="F72" s="6">
        <f>F4</f>
        <v>7200</v>
      </c>
      <c r="G72" s="7">
        <f t="shared" ref="G72" si="7">F72/C72*100</f>
        <v>90</v>
      </c>
    </row>
    <row r="73" spans="1:7" ht="15" customHeight="1" x14ac:dyDescent="0.2">
      <c r="A73" s="393" t="s">
        <v>21</v>
      </c>
      <c r="B73" s="399"/>
      <c r="C73" s="13">
        <f>C9</f>
        <v>41459</v>
      </c>
      <c r="D73" s="13">
        <f>D9</f>
        <v>106043.47</v>
      </c>
      <c r="E73" s="13">
        <f>E9</f>
        <v>31510.44831</v>
      </c>
      <c r="F73" s="6">
        <f>F9</f>
        <v>24300</v>
      </c>
      <c r="G73" s="7">
        <f t="shared" ref="G73:G80" si="8">F73/C73*100</f>
        <v>58.612122820135561</v>
      </c>
    </row>
    <row r="74" spans="1:7" ht="15" customHeight="1" x14ac:dyDescent="0.2">
      <c r="A74" s="393" t="s">
        <v>22</v>
      </c>
      <c r="B74" s="399"/>
      <c r="C74" s="13">
        <f>C27</f>
        <v>83015</v>
      </c>
      <c r="D74" s="13">
        <f>D27</f>
        <v>113819.01000000001</v>
      </c>
      <c r="E74" s="13">
        <f>E27</f>
        <v>67489.680789999999</v>
      </c>
      <c r="F74" s="6">
        <f>F27</f>
        <v>71136</v>
      </c>
      <c r="G74" s="7">
        <f t="shared" si="8"/>
        <v>85.690537854604585</v>
      </c>
    </row>
    <row r="75" spans="1:7" ht="15" customHeight="1" x14ac:dyDescent="0.2">
      <c r="A75" s="393" t="s">
        <v>23</v>
      </c>
      <c r="B75" s="399"/>
      <c r="C75" s="13">
        <f>C42</f>
        <v>45501</v>
      </c>
      <c r="D75" s="13">
        <f>D42</f>
        <v>51799.770000000004</v>
      </c>
      <c r="E75" s="13">
        <f>E42</f>
        <v>22431.579700000002</v>
      </c>
      <c r="F75" s="6">
        <f>F42</f>
        <v>49646</v>
      </c>
      <c r="G75" s="7">
        <f t="shared" si="8"/>
        <v>109.10968989692533</v>
      </c>
    </row>
    <row r="76" spans="1:7" ht="15" customHeight="1" x14ac:dyDescent="0.2">
      <c r="A76" s="393" t="s">
        <v>24</v>
      </c>
      <c r="B76" s="399"/>
      <c r="C76" s="13">
        <f>C52</f>
        <v>336369</v>
      </c>
      <c r="D76" s="13">
        <f>D52</f>
        <v>339825.80000000005</v>
      </c>
      <c r="E76" s="13">
        <f>E52</f>
        <v>248286.565</v>
      </c>
      <c r="F76" s="6">
        <f>F52</f>
        <v>335342</v>
      </c>
      <c r="G76" s="7">
        <f t="shared" si="8"/>
        <v>99.694680544283216</v>
      </c>
    </row>
    <row r="77" spans="1:7" ht="15" customHeight="1" x14ac:dyDescent="0.2">
      <c r="A77" s="393" t="s">
        <v>25</v>
      </c>
      <c r="B77" s="399"/>
      <c r="C77" s="13">
        <f>C57</f>
        <v>58238</v>
      </c>
      <c r="D77" s="13">
        <f>D57</f>
        <v>58488</v>
      </c>
      <c r="E77" s="13">
        <f>E57</f>
        <v>54631.544000000002</v>
      </c>
      <c r="F77" s="6">
        <f>F57</f>
        <v>58238</v>
      </c>
      <c r="G77" s="7">
        <f t="shared" si="8"/>
        <v>100</v>
      </c>
    </row>
    <row r="78" spans="1:7" ht="15" customHeight="1" x14ac:dyDescent="0.2">
      <c r="A78" s="393" t="s">
        <v>26</v>
      </c>
      <c r="B78" s="399"/>
      <c r="C78" s="13">
        <f>C62</f>
        <v>8000</v>
      </c>
      <c r="D78" s="13">
        <f>D62</f>
        <v>8722.5</v>
      </c>
      <c r="E78" s="13">
        <f>E62</f>
        <v>7922.5</v>
      </c>
      <c r="F78" s="6">
        <f>F62</f>
        <v>8000</v>
      </c>
      <c r="G78" s="7">
        <f t="shared" si="8"/>
        <v>100</v>
      </c>
    </row>
    <row r="79" spans="1:7" ht="15" customHeight="1" x14ac:dyDescent="0.2">
      <c r="A79" s="393" t="s">
        <v>27</v>
      </c>
      <c r="B79" s="399"/>
      <c r="C79" s="13">
        <f>C68</f>
        <v>24900</v>
      </c>
      <c r="D79" s="13">
        <f>D68</f>
        <v>58971.709999999992</v>
      </c>
      <c r="E79" s="13">
        <f>E68</f>
        <v>9278.129600000002</v>
      </c>
      <c r="F79" s="6">
        <f>F68</f>
        <v>20925</v>
      </c>
      <c r="G79" s="7">
        <f t="shared" si="8"/>
        <v>84.036144578313255</v>
      </c>
    </row>
    <row r="80" spans="1:7" s="8" customFormat="1" ht="16.5" customHeight="1" thickBot="1" x14ac:dyDescent="0.3">
      <c r="A80" s="402" t="s">
        <v>18</v>
      </c>
      <c r="B80" s="403"/>
      <c r="C80" s="15">
        <f>SUM(C72:C79)</f>
        <v>605482</v>
      </c>
      <c r="D80" s="15">
        <f>SUM(D72:D79)</f>
        <v>746420.66</v>
      </c>
      <c r="E80" s="15">
        <f>SUM(E72:E79)</f>
        <v>449043.24739999999</v>
      </c>
      <c r="F80" s="15">
        <f>SUM(F72:F79)</f>
        <v>574787</v>
      </c>
      <c r="G80" s="16">
        <f t="shared" si="8"/>
        <v>94.930485134157578</v>
      </c>
    </row>
    <row r="81" spans="2:2" ht="12.75" x14ac:dyDescent="0.2">
      <c r="B81" s="22"/>
    </row>
    <row r="82" spans="2:2" ht="12.75" x14ac:dyDescent="0.2">
      <c r="B82" s="22"/>
    </row>
  </sheetData>
  <mergeCells count="24">
    <mergeCell ref="A80:B80"/>
    <mergeCell ref="A74:B74"/>
    <mergeCell ref="A75:B75"/>
    <mergeCell ref="A76:B76"/>
    <mergeCell ref="A77:B77"/>
    <mergeCell ref="A78:B78"/>
    <mergeCell ref="A79:B79"/>
    <mergeCell ref="A73:B73"/>
    <mergeCell ref="A27:B27"/>
    <mergeCell ref="A41:B41"/>
    <mergeCell ref="A42:B42"/>
    <mergeCell ref="A52:B52"/>
    <mergeCell ref="A57:B57"/>
    <mergeCell ref="A62:B62"/>
    <mergeCell ref="A68:B68"/>
    <mergeCell ref="A69:B69"/>
    <mergeCell ref="A71:B71"/>
    <mergeCell ref="A72:B72"/>
    <mergeCell ref="A8:B8"/>
    <mergeCell ref="A67:B67"/>
    <mergeCell ref="A26:B26"/>
    <mergeCell ref="A1:G1"/>
    <mergeCell ref="A4:B4"/>
    <mergeCell ref="A9:B9"/>
  </mergeCells>
  <phoneticPr fontId="36" type="noConversion"/>
  <printOptions horizontalCentered="1"/>
  <pageMargins left="0.31496062992125984" right="0.31496062992125984" top="0.78740157480314965" bottom="0.39370078740157483" header="0.31496062992125984" footer="0.11811023622047245"/>
  <pageSetup paperSize="9" scale="86" firstPageNumber="2" fitToHeight="0" orientation="portrait" useFirstPageNumber="1" r:id="rId1"/>
  <headerFooter>
    <oddHeader>&amp;L&amp;"Tahoma,Kurzíva"&amp;10Návrh rozpočtu na rok 2025
Příloha č. 9&amp;R&amp;"Tahoma,Kurzíva"&amp;10Přehled dotačních programů v návrhu rozpočtu kraje na rok 2025</oddHeader>
    <oddFooter>&amp;C&amp;"Tahoma,Obyčejné"&amp;10&amp;P</oddFooter>
  </headerFooter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00A2-E1DC-4D1E-9F0D-C1DB34A93B9E}">
  <sheetPr>
    <pageSetUpPr fitToPage="1"/>
  </sheetPr>
  <dimension ref="A1:H97"/>
  <sheetViews>
    <sheetView zoomScaleNormal="100" zoomScaleSheetLayoutView="100" workbookViewId="0">
      <pane ySplit="2" topLeftCell="A3" activePane="bottomLeft" state="frozen"/>
      <selection activeCell="J7" sqref="J7"/>
      <selection pane="bottomLeft" activeCell="B6" sqref="B6"/>
    </sheetView>
  </sheetViews>
  <sheetFormatPr defaultColWidth="9.28515625" defaultRowHeight="10.5" x14ac:dyDescent="0.15"/>
  <cols>
    <col min="1" max="1" width="6.42578125" style="17" customWidth="1"/>
    <col min="2" max="2" width="55.7109375" style="8" customWidth="1"/>
    <col min="3" max="3" width="10.7109375" style="8" customWidth="1"/>
    <col min="4" max="5" width="10.7109375" style="23" customWidth="1"/>
    <col min="6" max="6" width="10.7109375" style="8" customWidth="1"/>
    <col min="7" max="7" width="8" style="8" customWidth="1"/>
    <col min="8" max="16384" width="9.28515625" style="1"/>
  </cols>
  <sheetData>
    <row r="1" spans="1:8" ht="40.5" customHeight="1" thickBot="1" x14ac:dyDescent="0.25">
      <c r="A1" s="395" t="s">
        <v>822</v>
      </c>
      <c r="B1" s="396"/>
      <c r="C1" s="396"/>
      <c r="D1" s="396"/>
      <c r="E1" s="396"/>
      <c r="F1" s="396"/>
      <c r="G1" s="396"/>
    </row>
    <row r="2" spans="1:8" ht="36" customHeight="1" x14ac:dyDescent="0.15">
      <c r="A2" s="388" t="s">
        <v>0</v>
      </c>
      <c r="B2" s="2" t="s">
        <v>749</v>
      </c>
      <c r="C2" s="2" t="s">
        <v>338</v>
      </c>
      <c r="D2" s="2" t="s">
        <v>339</v>
      </c>
      <c r="E2" s="2" t="s">
        <v>340</v>
      </c>
      <c r="F2" s="2" t="s">
        <v>730</v>
      </c>
      <c r="G2" s="3" t="s">
        <v>342</v>
      </c>
      <c r="H2" s="4"/>
    </row>
    <row r="3" spans="1:8" s="8" customFormat="1" ht="15" customHeight="1" x14ac:dyDescent="0.25">
      <c r="A3" s="137">
        <v>19</v>
      </c>
      <c r="B3" s="5" t="s">
        <v>750</v>
      </c>
      <c r="C3" s="13">
        <v>30</v>
      </c>
      <c r="D3" s="13">
        <v>120</v>
      </c>
      <c r="E3" s="13">
        <v>30</v>
      </c>
      <c r="F3" s="6">
        <v>30</v>
      </c>
      <c r="G3" s="7">
        <f t="shared" ref="G3:G70" si="0">F3/C3*100</f>
        <v>100</v>
      </c>
    </row>
    <row r="4" spans="1:8" s="8" customFormat="1" ht="15.75" customHeight="1" x14ac:dyDescent="0.25">
      <c r="A4" s="397" t="s">
        <v>751</v>
      </c>
      <c r="B4" s="398"/>
      <c r="C4" s="180">
        <f>SUM(C3)</f>
        <v>30</v>
      </c>
      <c r="D4" s="180">
        <f>SUM(D3)</f>
        <v>120</v>
      </c>
      <c r="E4" s="180">
        <f>SUM(E3)</f>
        <v>30</v>
      </c>
      <c r="F4" s="178">
        <f>SUM(F3)</f>
        <v>30</v>
      </c>
      <c r="G4" s="10">
        <f t="shared" si="0"/>
        <v>100</v>
      </c>
    </row>
    <row r="5" spans="1:8" s="8" customFormat="1" ht="15" customHeight="1" x14ac:dyDescent="0.25">
      <c r="A5" s="138">
        <v>44</v>
      </c>
      <c r="B5" s="5" t="s">
        <v>753</v>
      </c>
      <c r="C5" s="13">
        <v>800</v>
      </c>
      <c r="D5" s="13">
        <v>800</v>
      </c>
      <c r="E5" s="13">
        <v>800</v>
      </c>
      <c r="F5" s="179">
        <v>1000</v>
      </c>
      <c r="G5" s="7">
        <f>F5/C5*100</f>
        <v>125</v>
      </c>
    </row>
    <row r="6" spans="1:8" s="8" customFormat="1" ht="15" customHeight="1" x14ac:dyDescent="0.25">
      <c r="A6" s="138">
        <v>45</v>
      </c>
      <c r="B6" s="5" t="s">
        <v>754</v>
      </c>
      <c r="C6" s="13">
        <v>75800</v>
      </c>
      <c r="D6" s="13">
        <v>75800</v>
      </c>
      <c r="E6" s="13">
        <v>53622</v>
      </c>
      <c r="F6" s="179">
        <v>74000</v>
      </c>
      <c r="G6" s="7">
        <f t="shared" ref="G6" si="1">F6/C6*100</f>
        <v>97.625329815303431</v>
      </c>
    </row>
    <row r="7" spans="1:8" s="8" customFormat="1" ht="15" customHeight="1" x14ac:dyDescent="0.25">
      <c r="A7" s="138">
        <v>46</v>
      </c>
      <c r="B7" s="5" t="s">
        <v>755</v>
      </c>
      <c r="C7" s="13">
        <v>48000</v>
      </c>
      <c r="D7" s="13">
        <v>35680.800000000003</v>
      </c>
      <c r="E7" s="13">
        <v>5856</v>
      </c>
      <c r="F7" s="179">
        <v>167500</v>
      </c>
      <c r="G7" s="7">
        <f>F7/C7*100</f>
        <v>348.95833333333337</v>
      </c>
    </row>
    <row r="8" spans="1:8" s="8" customFormat="1" ht="15" customHeight="1" x14ac:dyDescent="0.25">
      <c r="A8" s="138">
        <v>48</v>
      </c>
      <c r="B8" s="5" t="s">
        <v>756</v>
      </c>
      <c r="C8" s="13">
        <v>0</v>
      </c>
      <c r="D8" s="13">
        <v>0</v>
      </c>
      <c r="E8" s="13">
        <v>0</v>
      </c>
      <c r="F8" s="179">
        <v>19239</v>
      </c>
      <c r="G8" s="177" t="s">
        <v>237</v>
      </c>
    </row>
    <row r="9" spans="1:8" s="8" customFormat="1" ht="15" customHeight="1" x14ac:dyDescent="0.25">
      <c r="A9" s="138">
        <v>50</v>
      </c>
      <c r="B9" s="5" t="s">
        <v>757</v>
      </c>
      <c r="C9" s="13">
        <v>2500</v>
      </c>
      <c r="D9" s="13">
        <v>5885.2000000000007</v>
      </c>
      <c r="E9" s="13">
        <v>2783.7599700000001</v>
      </c>
      <c r="F9" s="179">
        <v>5000</v>
      </c>
      <c r="G9" s="7">
        <f t="shared" ref="G9" si="2">F9/C9*100</f>
        <v>200</v>
      </c>
    </row>
    <row r="10" spans="1:8" s="8" customFormat="1" ht="15.75" customHeight="1" x14ac:dyDescent="0.25">
      <c r="A10" s="397" t="s">
        <v>752</v>
      </c>
      <c r="B10" s="398"/>
      <c r="C10" s="180">
        <f>SUM(C5:C9)</f>
        <v>127100</v>
      </c>
      <c r="D10" s="180">
        <f>SUM(D5:D9)</f>
        <v>118166</v>
      </c>
      <c r="E10" s="180">
        <f>SUM(E5:E9)</f>
        <v>63061.759969999999</v>
      </c>
      <c r="F10" s="9">
        <f>SUM(F5:F9)</f>
        <v>266739</v>
      </c>
      <c r="G10" s="10">
        <f t="shared" ref="G10" si="3">F10/C10*100</f>
        <v>209.86546026750591</v>
      </c>
    </row>
    <row r="11" spans="1:8" s="8" customFormat="1" ht="24" customHeight="1" x14ac:dyDescent="0.25">
      <c r="A11" s="138">
        <v>147</v>
      </c>
      <c r="B11" s="5" t="s">
        <v>758</v>
      </c>
      <c r="C11" s="13">
        <v>24100</v>
      </c>
      <c r="D11" s="13">
        <v>24100</v>
      </c>
      <c r="E11" s="13">
        <v>24100</v>
      </c>
      <c r="F11" s="179">
        <v>26000</v>
      </c>
      <c r="G11" s="7">
        <f t="shared" ref="G11:G22" si="4">F11/C11*100</f>
        <v>107.88381742738589</v>
      </c>
    </row>
    <row r="12" spans="1:8" s="8" customFormat="1" ht="15" customHeight="1" x14ac:dyDescent="0.25">
      <c r="A12" s="138">
        <v>148</v>
      </c>
      <c r="B12" s="5" t="s">
        <v>759</v>
      </c>
      <c r="C12" s="13">
        <v>3215</v>
      </c>
      <c r="D12" s="13">
        <v>3215</v>
      </c>
      <c r="E12" s="13">
        <v>3215</v>
      </c>
      <c r="F12" s="179">
        <v>1215</v>
      </c>
      <c r="G12" s="7">
        <f t="shared" ref="G12:G21" si="5">F12/C12*100</f>
        <v>37.791601866251945</v>
      </c>
    </row>
    <row r="13" spans="1:8" s="8" customFormat="1" ht="24" customHeight="1" x14ac:dyDescent="0.25">
      <c r="A13" s="138">
        <v>149</v>
      </c>
      <c r="B13" s="5" t="s">
        <v>760</v>
      </c>
      <c r="C13" s="13">
        <v>5150</v>
      </c>
      <c r="D13" s="13">
        <v>6150</v>
      </c>
      <c r="E13" s="13">
        <v>1350</v>
      </c>
      <c r="F13" s="179">
        <v>3650</v>
      </c>
      <c r="G13" s="7">
        <f t="shared" si="5"/>
        <v>70.873786407766985</v>
      </c>
    </row>
    <row r="14" spans="1:8" s="8" customFormat="1" ht="15" customHeight="1" x14ac:dyDescent="0.25">
      <c r="A14" s="138">
        <v>151</v>
      </c>
      <c r="B14" s="5" t="s">
        <v>761</v>
      </c>
      <c r="C14" s="13">
        <v>13500</v>
      </c>
      <c r="D14" s="13">
        <v>13500</v>
      </c>
      <c r="E14" s="13">
        <v>13500</v>
      </c>
      <c r="F14" s="179">
        <v>11380</v>
      </c>
      <c r="G14" s="7">
        <f t="shared" si="5"/>
        <v>84.296296296296291</v>
      </c>
    </row>
    <row r="15" spans="1:8" s="8" customFormat="1" ht="15" customHeight="1" x14ac:dyDescent="0.25">
      <c r="A15" s="138">
        <v>152</v>
      </c>
      <c r="B15" s="5" t="s">
        <v>762</v>
      </c>
      <c r="C15" s="13">
        <v>30430</v>
      </c>
      <c r="D15" s="13">
        <v>114330</v>
      </c>
      <c r="E15" s="13">
        <v>6648.1737499999999</v>
      </c>
      <c r="F15" s="179">
        <v>20664</v>
      </c>
      <c r="G15" s="7">
        <f t="shared" si="5"/>
        <v>67.906671048307587</v>
      </c>
    </row>
    <row r="16" spans="1:8" s="8" customFormat="1" ht="15" customHeight="1" x14ac:dyDescent="0.25">
      <c r="A16" s="138">
        <v>154</v>
      </c>
      <c r="B16" s="5" t="s">
        <v>763</v>
      </c>
      <c r="C16" s="13">
        <v>3000</v>
      </c>
      <c r="D16" s="13">
        <v>3000</v>
      </c>
      <c r="E16" s="13">
        <v>3000</v>
      </c>
      <c r="F16" s="179">
        <v>3000</v>
      </c>
      <c r="G16" s="7">
        <f t="shared" si="5"/>
        <v>100</v>
      </c>
    </row>
    <row r="17" spans="1:7" s="8" customFormat="1" ht="24" customHeight="1" x14ac:dyDescent="0.25">
      <c r="A17" s="138">
        <v>156</v>
      </c>
      <c r="B17" s="5" t="s">
        <v>764</v>
      </c>
      <c r="C17" s="13">
        <v>2573</v>
      </c>
      <c r="D17" s="13">
        <v>2573</v>
      </c>
      <c r="E17" s="13">
        <v>2573</v>
      </c>
      <c r="F17" s="179">
        <v>2573</v>
      </c>
      <c r="G17" s="7">
        <f t="shared" si="5"/>
        <v>100</v>
      </c>
    </row>
    <row r="18" spans="1:7" s="8" customFormat="1" ht="24" customHeight="1" x14ac:dyDescent="0.25">
      <c r="A18" s="138">
        <v>158</v>
      </c>
      <c r="B18" s="5" t="s">
        <v>765</v>
      </c>
      <c r="C18" s="13">
        <v>18345</v>
      </c>
      <c r="D18" s="13">
        <v>18345</v>
      </c>
      <c r="E18" s="13">
        <v>18345</v>
      </c>
      <c r="F18" s="179">
        <v>20338</v>
      </c>
      <c r="G18" s="7">
        <f t="shared" si="5"/>
        <v>110.86399563913874</v>
      </c>
    </row>
    <row r="19" spans="1:7" s="8" customFormat="1" ht="24" customHeight="1" x14ac:dyDescent="0.25">
      <c r="A19" s="138">
        <v>159</v>
      </c>
      <c r="B19" s="5" t="s">
        <v>766</v>
      </c>
      <c r="C19" s="13">
        <v>3750</v>
      </c>
      <c r="D19" s="13">
        <v>3750</v>
      </c>
      <c r="E19" s="13">
        <v>3750</v>
      </c>
      <c r="F19" s="179">
        <v>3000</v>
      </c>
      <c r="G19" s="7">
        <f t="shared" si="5"/>
        <v>80</v>
      </c>
    </row>
    <row r="20" spans="1:7" s="8" customFormat="1" ht="14.25" customHeight="1" x14ac:dyDescent="0.25">
      <c r="A20" s="138">
        <v>160</v>
      </c>
      <c r="B20" s="5" t="s">
        <v>767</v>
      </c>
      <c r="C20" s="13">
        <v>200</v>
      </c>
      <c r="D20" s="13">
        <v>3102.89</v>
      </c>
      <c r="E20" s="13">
        <v>2101.2159999999999</v>
      </c>
      <c r="F20" s="179">
        <v>150</v>
      </c>
      <c r="G20" s="7">
        <f t="shared" si="5"/>
        <v>75</v>
      </c>
    </row>
    <row r="21" spans="1:7" s="8" customFormat="1" ht="24" customHeight="1" x14ac:dyDescent="0.25">
      <c r="A21" s="393" t="s">
        <v>802</v>
      </c>
      <c r="B21" s="394"/>
      <c r="C21" s="13">
        <v>25250</v>
      </c>
      <c r="D21" s="13">
        <v>25250</v>
      </c>
      <c r="E21" s="13">
        <v>25250</v>
      </c>
      <c r="F21" s="6">
        <v>0</v>
      </c>
      <c r="G21" s="7">
        <f t="shared" si="5"/>
        <v>0</v>
      </c>
    </row>
    <row r="22" spans="1:7" s="8" customFormat="1" ht="15.75" customHeight="1" x14ac:dyDescent="0.25">
      <c r="A22" s="397" t="s">
        <v>2</v>
      </c>
      <c r="B22" s="398"/>
      <c r="C22" s="180">
        <f>SUM(C11:C21)</f>
        <v>129513</v>
      </c>
      <c r="D22" s="180">
        <f t="shared" ref="D22:F22" si="6">SUM(D11:D21)</f>
        <v>217315.89</v>
      </c>
      <c r="E22" s="180">
        <f t="shared" si="6"/>
        <v>103832.38975</v>
      </c>
      <c r="F22" s="178">
        <f t="shared" si="6"/>
        <v>91970</v>
      </c>
      <c r="G22" s="10">
        <f t="shared" si="4"/>
        <v>71.012176383837911</v>
      </c>
    </row>
    <row r="23" spans="1:7" s="8" customFormat="1" ht="24" customHeight="1" x14ac:dyDescent="0.25">
      <c r="A23" s="138">
        <v>182</v>
      </c>
      <c r="B23" s="5" t="s">
        <v>768</v>
      </c>
      <c r="C23" s="13">
        <v>100000</v>
      </c>
      <c r="D23" s="13">
        <v>100000</v>
      </c>
      <c r="E23" s="13">
        <v>0</v>
      </c>
      <c r="F23" s="179">
        <v>100000</v>
      </c>
      <c r="G23" s="7">
        <f>F23/C23*100</f>
        <v>100</v>
      </c>
    </row>
    <row r="24" spans="1:7" s="8" customFormat="1" ht="15" customHeight="1" x14ac:dyDescent="0.25">
      <c r="A24" s="138">
        <v>183</v>
      </c>
      <c r="B24" s="5" t="s">
        <v>775</v>
      </c>
      <c r="C24" s="13">
        <v>20000</v>
      </c>
      <c r="D24" s="13">
        <v>18426</v>
      </c>
      <c r="E24" s="13">
        <v>18426</v>
      </c>
      <c r="F24" s="179">
        <v>20000</v>
      </c>
      <c r="G24" s="7">
        <f t="shared" si="0"/>
        <v>100</v>
      </c>
    </row>
    <row r="25" spans="1:7" s="8" customFormat="1" ht="15" customHeight="1" x14ac:dyDescent="0.25">
      <c r="A25" s="138">
        <v>185</v>
      </c>
      <c r="B25" s="5" t="s">
        <v>769</v>
      </c>
      <c r="C25" s="13">
        <v>23600</v>
      </c>
      <c r="D25" s="13">
        <v>23600</v>
      </c>
      <c r="E25" s="13">
        <v>23600</v>
      </c>
      <c r="F25" s="179">
        <v>23600</v>
      </c>
      <c r="G25" s="7">
        <f t="shared" si="0"/>
        <v>100</v>
      </c>
    </row>
    <row r="26" spans="1:7" s="8" customFormat="1" ht="15" customHeight="1" x14ac:dyDescent="0.25">
      <c r="A26" s="138">
        <v>187</v>
      </c>
      <c r="B26" s="5" t="s">
        <v>770</v>
      </c>
      <c r="C26" s="13">
        <v>33000</v>
      </c>
      <c r="D26" s="13">
        <v>42900</v>
      </c>
      <c r="E26" s="13">
        <v>42889.286</v>
      </c>
      <c r="F26" s="179">
        <v>33000</v>
      </c>
      <c r="G26" s="7">
        <f>F26/C26*100</f>
        <v>100</v>
      </c>
    </row>
    <row r="27" spans="1:7" s="8" customFormat="1" ht="15" customHeight="1" x14ac:dyDescent="0.25">
      <c r="A27" s="138">
        <v>188</v>
      </c>
      <c r="B27" s="5" t="s">
        <v>771</v>
      </c>
      <c r="C27" s="13">
        <v>7000</v>
      </c>
      <c r="D27" s="13">
        <v>22915.730000000003</v>
      </c>
      <c r="E27" s="13">
        <v>16795.033599999999</v>
      </c>
      <c r="F27" s="179">
        <v>7000</v>
      </c>
      <c r="G27" s="7">
        <f>F27/C27*100</f>
        <v>100</v>
      </c>
    </row>
    <row r="28" spans="1:7" s="8" customFormat="1" ht="15" customHeight="1" x14ac:dyDescent="0.25">
      <c r="A28" s="138">
        <v>189</v>
      </c>
      <c r="B28" s="5" t="s">
        <v>772</v>
      </c>
      <c r="C28" s="13">
        <v>5000</v>
      </c>
      <c r="D28" s="13">
        <v>9137</v>
      </c>
      <c r="E28" s="13">
        <v>9036.15</v>
      </c>
      <c r="F28" s="179">
        <v>5000</v>
      </c>
      <c r="G28" s="7">
        <f t="shared" ref="G28:G29" si="7">F28/C28*100</f>
        <v>100</v>
      </c>
    </row>
    <row r="29" spans="1:7" s="8" customFormat="1" ht="15" customHeight="1" x14ac:dyDescent="0.25">
      <c r="A29" s="138">
        <v>190</v>
      </c>
      <c r="B29" s="5" t="s">
        <v>773</v>
      </c>
      <c r="C29" s="13">
        <v>5000</v>
      </c>
      <c r="D29" s="13">
        <v>16383.25</v>
      </c>
      <c r="E29" s="13">
        <v>15277</v>
      </c>
      <c r="F29" s="179">
        <v>5000</v>
      </c>
      <c r="G29" s="7">
        <f t="shared" si="7"/>
        <v>100</v>
      </c>
    </row>
    <row r="30" spans="1:7" s="8" customFormat="1" ht="15" customHeight="1" x14ac:dyDescent="0.25">
      <c r="A30" s="393" t="s">
        <v>774</v>
      </c>
      <c r="B30" s="394"/>
      <c r="C30" s="13">
        <v>0</v>
      </c>
      <c r="D30" s="13">
        <v>25199.22</v>
      </c>
      <c r="E30" s="13">
        <v>14314.22</v>
      </c>
      <c r="F30" s="6">
        <v>0</v>
      </c>
      <c r="G30" s="177" t="s">
        <v>237</v>
      </c>
    </row>
    <row r="31" spans="1:7" s="8" customFormat="1" ht="15.75" customHeight="1" x14ac:dyDescent="0.25">
      <c r="A31" s="397" t="s">
        <v>5</v>
      </c>
      <c r="B31" s="398"/>
      <c r="C31" s="180">
        <f>SUM(C23:C30)</f>
        <v>193600</v>
      </c>
      <c r="D31" s="180">
        <f>SUM(D23:D30)</f>
        <v>258561.2</v>
      </c>
      <c r="E31" s="180">
        <f>SUM(E23:E30)</f>
        <v>140337.68959999998</v>
      </c>
      <c r="F31" s="9">
        <f>SUM(F23:F30)</f>
        <v>193600</v>
      </c>
      <c r="G31" s="10">
        <f t="shared" si="0"/>
        <v>100</v>
      </c>
    </row>
    <row r="32" spans="1:7" s="8" customFormat="1" ht="15" customHeight="1" x14ac:dyDescent="0.25">
      <c r="A32" s="137">
        <v>257</v>
      </c>
      <c r="B32" s="5" t="s">
        <v>777</v>
      </c>
      <c r="C32" s="13">
        <v>4400</v>
      </c>
      <c r="D32" s="13">
        <v>5000</v>
      </c>
      <c r="E32" s="13">
        <v>5000</v>
      </c>
      <c r="F32" s="6">
        <v>4400</v>
      </c>
      <c r="G32" s="7">
        <f t="shared" ref="G32:G34" si="8">F32/C32*100</f>
        <v>100</v>
      </c>
    </row>
    <row r="33" spans="1:8" s="8" customFormat="1" ht="24" customHeight="1" x14ac:dyDescent="0.25">
      <c r="A33" s="393" t="s">
        <v>803</v>
      </c>
      <c r="B33" s="394"/>
      <c r="C33" s="13">
        <v>0</v>
      </c>
      <c r="D33" s="13">
        <v>880</v>
      </c>
      <c r="E33" s="13">
        <v>280</v>
      </c>
      <c r="F33" s="6">
        <v>0</v>
      </c>
      <c r="G33" s="177" t="s">
        <v>237</v>
      </c>
    </row>
    <row r="34" spans="1:8" s="8" customFormat="1" ht="15.75" customHeight="1" x14ac:dyDescent="0.25">
      <c r="A34" s="397" t="s">
        <v>776</v>
      </c>
      <c r="B34" s="398"/>
      <c r="C34" s="180">
        <f>SUM(C32:C33)</f>
        <v>4400</v>
      </c>
      <c r="D34" s="180">
        <f t="shared" ref="D34:F34" si="9">SUM(D32:D33)</f>
        <v>5880</v>
      </c>
      <c r="E34" s="180">
        <f t="shared" si="9"/>
        <v>5280</v>
      </c>
      <c r="F34" s="178">
        <f t="shared" si="9"/>
        <v>4400</v>
      </c>
      <c r="G34" s="10">
        <f t="shared" si="8"/>
        <v>100</v>
      </c>
    </row>
    <row r="35" spans="1:8" s="8" customFormat="1" ht="15" customHeight="1" x14ac:dyDescent="0.25">
      <c r="A35" s="138">
        <v>289</v>
      </c>
      <c r="B35" s="5" t="s">
        <v>778</v>
      </c>
      <c r="C35" s="13">
        <v>1388</v>
      </c>
      <c r="D35" s="13">
        <v>10351.5</v>
      </c>
      <c r="E35" s="13">
        <v>2039.3211999999999</v>
      </c>
      <c r="F35" s="179">
        <v>1341</v>
      </c>
      <c r="G35" s="7">
        <f t="shared" si="0"/>
        <v>96.61383285302594</v>
      </c>
      <c r="H35" s="139"/>
    </row>
    <row r="36" spans="1:8" s="8" customFormat="1" ht="15" customHeight="1" x14ac:dyDescent="0.25">
      <c r="A36" s="138">
        <v>290</v>
      </c>
      <c r="B36" s="5" t="s">
        <v>779</v>
      </c>
      <c r="C36" s="13">
        <v>12000</v>
      </c>
      <c r="D36" s="13">
        <v>12000</v>
      </c>
      <c r="E36" s="13">
        <v>12000</v>
      </c>
      <c r="F36" s="179">
        <v>12000</v>
      </c>
      <c r="G36" s="7">
        <f t="shared" si="0"/>
        <v>100</v>
      </c>
      <c r="H36" s="139"/>
    </row>
    <row r="37" spans="1:8" s="8" customFormat="1" ht="15" customHeight="1" x14ac:dyDescent="0.25">
      <c r="A37" s="138">
        <v>291</v>
      </c>
      <c r="B37" s="5" t="s">
        <v>780</v>
      </c>
      <c r="C37" s="13">
        <v>3550</v>
      </c>
      <c r="D37" s="13">
        <v>4862</v>
      </c>
      <c r="E37" s="13">
        <v>3550</v>
      </c>
      <c r="F37" s="6">
        <v>6000</v>
      </c>
      <c r="G37" s="7">
        <f t="shared" si="0"/>
        <v>169.01408450704224</v>
      </c>
      <c r="H37" s="139"/>
    </row>
    <row r="38" spans="1:8" s="8" customFormat="1" ht="15" customHeight="1" x14ac:dyDescent="0.25">
      <c r="A38" s="138">
        <v>292</v>
      </c>
      <c r="B38" s="5" t="s">
        <v>781</v>
      </c>
      <c r="C38" s="13">
        <v>10936</v>
      </c>
      <c r="D38" s="13">
        <v>11036</v>
      </c>
      <c r="E38" s="13">
        <v>0</v>
      </c>
      <c r="F38" s="6">
        <v>10950</v>
      </c>
      <c r="G38" s="7">
        <f t="shared" si="0"/>
        <v>100.12801755669349</v>
      </c>
      <c r="H38" s="139"/>
    </row>
    <row r="39" spans="1:8" s="8" customFormat="1" ht="24" customHeight="1" x14ac:dyDescent="0.25">
      <c r="A39" s="393" t="s">
        <v>782</v>
      </c>
      <c r="B39" s="394"/>
      <c r="C39" s="13">
        <v>5857</v>
      </c>
      <c r="D39" s="13">
        <v>20722.009999999998</v>
      </c>
      <c r="E39" s="13">
        <v>3150</v>
      </c>
      <c r="F39" s="6">
        <v>0</v>
      </c>
      <c r="G39" s="7">
        <f t="shared" ref="G39" si="10">F39/C39*100</f>
        <v>0</v>
      </c>
    </row>
    <row r="40" spans="1:8" s="8" customFormat="1" ht="15.75" customHeight="1" x14ac:dyDescent="0.25">
      <c r="A40" s="397" t="s">
        <v>6</v>
      </c>
      <c r="B40" s="398"/>
      <c r="C40" s="180">
        <f>SUM(C35:C39)</f>
        <v>33731</v>
      </c>
      <c r="D40" s="180">
        <f>SUM(D35:D39)</f>
        <v>58971.509999999995</v>
      </c>
      <c r="E40" s="180">
        <f>SUM(E35:E39)</f>
        <v>20739.321199999998</v>
      </c>
      <c r="F40" s="9">
        <f>SUM(F35:F39)</f>
        <v>30291</v>
      </c>
      <c r="G40" s="10">
        <f>F40/C40*100</f>
        <v>89.80166612315081</v>
      </c>
    </row>
    <row r="41" spans="1:8" s="8" customFormat="1" ht="15" customHeight="1" x14ac:dyDescent="0.25">
      <c r="A41" s="138">
        <v>327</v>
      </c>
      <c r="B41" s="5" t="s">
        <v>783</v>
      </c>
      <c r="C41" s="13">
        <v>16151</v>
      </c>
      <c r="D41" s="13">
        <v>73429.399999999994</v>
      </c>
      <c r="E41" s="13">
        <v>14171.98244</v>
      </c>
      <c r="F41" s="6">
        <v>7877</v>
      </c>
      <c r="G41" s="7">
        <f t="shared" si="0"/>
        <v>48.770973933502567</v>
      </c>
      <c r="H41" s="139"/>
    </row>
    <row r="42" spans="1:8" s="8" customFormat="1" ht="15" customHeight="1" x14ac:dyDescent="0.25">
      <c r="A42" s="138">
        <v>329</v>
      </c>
      <c r="B42" s="5" t="s">
        <v>784</v>
      </c>
      <c r="C42" s="13">
        <v>770</v>
      </c>
      <c r="D42" s="13">
        <v>385</v>
      </c>
      <c r="E42" s="13">
        <v>385</v>
      </c>
      <c r="F42" s="6">
        <v>1155</v>
      </c>
      <c r="G42" s="7">
        <f t="shared" si="0"/>
        <v>150</v>
      </c>
      <c r="H42" s="139"/>
    </row>
    <row r="43" spans="1:8" s="8" customFormat="1" ht="15" customHeight="1" x14ac:dyDescent="0.25">
      <c r="A43" s="138">
        <v>330</v>
      </c>
      <c r="B43" s="5" t="s">
        <v>785</v>
      </c>
      <c r="C43" s="13">
        <v>10000</v>
      </c>
      <c r="D43" s="13">
        <v>10000</v>
      </c>
      <c r="E43" s="13">
        <v>8000</v>
      </c>
      <c r="F43" s="6">
        <v>10000</v>
      </c>
      <c r="G43" s="7">
        <f t="shared" si="0"/>
        <v>100</v>
      </c>
    </row>
    <row r="44" spans="1:8" s="8" customFormat="1" ht="15" customHeight="1" x14ac:dyDescent="0.25">
      <c r="A44" s="138">
        <v>331</v>
      </c>
      <c r="B44" s="5" t="s">
        <v>786</v>
      </c>
      <c r="C44" s="13">
        <v>500</v>
      </c>
      <c r="D44" s="13">
        <v>500</v>
      </c>
      <c r="E44" s="13">
        <v>0</v>
      </c>
      <c r="F44" s="6">
        <v>500</v>
      </c>
      <c r="G44" s="7">
        <f t="shared" si="0"/>
        <v>100</v>
      </c>
    </row>
    <row r="45" spans="1:8" s="8" customFormat="1" ht="24" customHeight="1" x14ac:dyDescent="0.25">
      <c r="A45" s="393" t="s">
        <v>787</v>
      </c>
      <c r="B45" s="394"/>
      <c r="C45" s="13">
        <v>1000</v>
      </c>
      <c r="D45" s="13">
        <v>1000</v>
      </c>
      <c r="E45" s="13">
        <v>0</v>
      </c>
      <c r="F45" s="179">
        <v>0</v>
      </c>
      <c r="G45" s="7">
        <f t="shared" si="0"/>
        <v>0</v>
      </c>
    </row>
    <row r="46" spans="1:8" s="8" customFormat="1" ht="15.75" customHeight="1" x14ac:dyDescent="0.25">
      <c r="A46" s="397" t="s">
        <v>7</v>
      </c>
      <c r="B46" s="398"/>
      <c r="C46" s="180">
        <f>SUM(C41:C45)</f>
        <v>28421</v>
      </c>
      <c r="D46" s="180">
        <f>SUM(D41:D45)</f>
        <v>85314.4</v>
      </c>
      <c r="E46" s="180">
        <f>SUM(E41:E45)</f>
        <v>22556.98244</v>
      </c>
      <c r="F46" s="178">
        <f>SUM(F41:F45)</f>
        <v>19532</v>
      </c>
      <c r="G46" s="10">
        <f t="shared" si="0"/>
        <v>68.72383097005735</v>
      </c>
    </row>
    <row r="47" spans="1:8" s="8" customFormat="1" ht="15" customHeight="1" x14ac:dyDescent="0.25">
      <c r="A47" s="138">
        <v>358</v>
      </c>
      <c r="B47" s="5" t="s">
        <v>796</v>
      </c>
      <c r="C47" s="13">
        <v>125</v>
      </c>
      <c r="D47" s="13">
        <v>200</v>
      </c>
      <c r="E47" s="13">
        <v>200</v>
      </c>
      <c r="F47" s="6">
        <v>100</v>
      </c>
      <c r="G47" s="7">
        <f t="shared" si="0"/>
        <v>80</v>
      </c>
    </row>
    <row r="48" spans="1:8" s="8" customFormat="1" ht="24" customHeight="1" x14ac:dyDescent="0.25">
      <c r="A48" s="138">
        <v>359</v>
      </c>
      <c r="B48" s="5" t="s">
        <v>797</v>
      </c>
      <c r="C48" s="13">
        <v>1250</v>
      </c>
      <c r="D48" s="13">
        <v>2950</v>
      </c>
      <c r="E48" s="13">
        <v>1921</v>
      </c>
      <c r="F48" s="6">
        <v>2030</v>
      </c>
      <c r="G48" s="7">
        <f t="shared" si="0"/>
        <v>162.4</v>
      </c>
    </row>
    <row r="49" spans="1:7" s="8" customFormat="1" ht="15" customHeight="1" x14ac:dyDescent="0.25">
      <c r="A49" s="138">
        <v>361</v>
      </c>
      <c r="B49" s="5" t="s">
        <v>798</v>
      </c>
      <c r="C49" s="13">
        <v>2500</v>
      </c>
      <c r="D49" s="13">
        <v>3200</v>
      </c>
      <c r="E49" s="13">
        <v>2444.6</v>
      </c>
      <c r="F49" s="6">
        <v>2295</v>
      </c>
      <c r="G49" s="7">
        <f t="shared" si="0"/>
        <v>91.8</v>
      </c>
    </row>
    <row r="50" spans="1:7" s="8" customFormat="1" ht="15" customHeight="1" x14ac:dyDescent="0.25">
      <c r="A50" s="138">
        <v>362</v>
      </c>
      <c r="B50" s="5" t="s">
        <v>799</v>
      </c>
      <c r="C50" s="13">
        <v>200</v>
      </c>
      <c r="D50" s="13">
        <v>300</v>
      </c>
      <c r="E50" s="13">
        <v>0</v>
      </c>
      <c r="F50" s="6">
        <v>200</v>
      </c>
      <c r="G50" s="7">
        <f t="shared" si="0"/>
        <v>100</v>
      </c>
    </row>
    <row r="51" spans="1:7" s="8" customFormat="1" ht="15" customHeight="1" x14ac:dyDescent="0.25">
      <c r="A51" s="138">
        <v>363</v>
      </c>
      <c r="B51" s="5" t="s">
        <v>800</v>
      </c>
      <c r="C51" s="13">
        <v>465</v>
      </c>
      <c r="D51" s="13">
        <v>565</v>
      </c>
      <c r="E51" s="13">
        <v>512</v>
      </c>
      <c r="F51" s="6">
        <v>450</v>
      </c>
      <c r="G51" s="7">
        <f t="shared" si="0"/>
        <v>96.774193548387103</v>
      </c>
    </row>
    <row r="52" spans="1:7" s="8" customFormat="1" ht="15" customHeight="1" x14ac:dyDescent="0.25">
      <c r="A52" s="138">
        <v>364</v>
      </c>
      <c r="B52" s="5" t="s">
        <v>801</v>
      </c>
      <c r="C52" s="13">
        <v>13000</v>
      </c>
      <c r="D52" s="13">
        <v>13000</v>
      </c>
      <c r="E52" s="13">
        <v>3200</v>
      </c>
      <c r="F52" s="6">
        <v>5000</v>
      </c>
      <c r="G52" s="7">
        <f t="shared" si="0"/>
        <v>38.461538461538467</v>
      </c>
    </row>
    <row r="53" spans="1:7" s="8" customFormat="1" ht="24" customHeight="1" x14ac:dyDescent="0.25">
      <c r="A53" s="393" t="s">
        <v>804</v>
      </c>
      <c r="B53" s="394"/>
      <c r="C53" s="13">
        <v>0</v>
      </c>
      <c r="D53" s="13">
        <v>710</v>
      </c>
      <c r="E53" s="13">
        <v>570</v>
      </c>
      <c r="F53" s="179">
        <v>0</v>
      </c>
      <c r="G53" s="177" t="s">
        <v>237</v>
      </c>
    </row>
    <row r="54" spans="1:7" s="8" customFormat="1" ht="15.75" customHeight="1" x14ac:dyDescent="0.25">
      <c r="A54" s="397" t="s">
        <v>12</v>
      </c>
      <c r="B54" s="398"/>
      <c r="C54" s="180">
        <f>SUM(C47:C53)</f>
        <v>17540</v>
      </c>
      <c r="D54" s="180">
        <f t="shared" ref="D54:F54" si="11">SUM(D47:D53)</f>
        <v>20925</v>
      </c>
      <c r="E54" s="180">
        <f t="shared" si="11"/>
        <v>8847.6</v>
      </c>
      <c r="F54" s="178">
        <f t="shared" si="11"/>
        <v>10075</v>
      </c>
      <c r="G54" s="10">
        <f t="shared" si="0"/>
        <v>57.440136830102617</v>
      </c>
    </row>
    <row r="55" spans="1:7" s="8" customFormat="1" ht="15" customHeight="1" x14ac:dyDescent="0.25">
      <c r="A55" s="138">
        <v>450</v>
      </c>
      <c r="B55" s="5" t="s">
        <v>788</v>
      </c>
      <c r="C55" s="13">
        <v>40000</v>
      </c>
      <c r="D55" s="13">
        <v>0</v>
      </c>
      <c r="E55" s="13">
        <v>0</v>
      </c>
      <c r="F55" s="6">
        <v>40000</v>
      </c>
      <c r="G55" s="7">
        <f t="shared" si="0"/>
        <v>100</v>
      </c>
    </row>
    <row r="56" spans="1:7" s="8" customFormat="1" ht="15" customHeight="1" x14ac:dyDescent="0.25">
      <c r="A56" s="138">
        <v>452</v>
      </c>
      <c r="B56" s="5" t="s">
        <v>789</v>
      </c>
      <c r="C56" s="13">
        <v>0</v>
      </c>
      <c r="D56" s="13">
        <v>0</v>
      </c>
      <c r="E56" s="13">
        <v>0</v>
      </c>
      <c r="F56" s="6">
        <v>20000</v>
      </c>
      <c r="G56" s="177" t="s">
        <v>237</v>
      </c>
    </row>
    <row r="57" spans="1:7" s="8" customFormat="1" ht="15" customHeight="1" x14ac:dyDescent="0.25">
      <c r="A57" s="138">
        <v>453</v>
      </c>
      <c r="B57" s="5" t="s">
        <v>790</v>
      </c>
      <c r="C57" s="13">
        <v>2000</v>
      </c>
      <c r="D57" s="13">
        <v>5154.4699999999993</v>
      </c>
      <c r="E57" s="13">
        <v>3368.97</v>
      </c>
      <c r="F57" s="6">
        <v>2500</v>
      </c>
      <c r="G57" s="7">
        <f t="shared" si="0"/>
        <v>125</v>
      </c>
    </row>
    <row r="58" spans="1:7" s="8" customFormat="1" ht="15" customHeight="1" x14ac:dyDescent="0.25">
      <c r="A58" s="138">
        <v>455</v>
      </c>
      <c r="B58" s="5" t="s">
        <v>791</v>
      </c>
      <c r="C58" s="13">
        <v>27200</v>
      </c>
      <c r="D58" s="13">
        <v>34428.050000000003</v>
      </c>
      <c r="E58" s="13">
        <v>26923.199999999997</v>
      </c>
      <c r="F58" s="6">
        <v>6050</v>
      </c>
      <c r="G58" s="7">
        <f t="shared" si="0"/>
        <v>22.242647058823529</v>
      </c>
    </row>
    <row r="59" spans="1:7" s="8" customFormat="1" ht="15" customHeight="1" x14ac:dyDescent="0.25">
      <c r="A59" s="138">
        <v>456</v>
      </c>
      <c r="B59" s="5" t="s">
        <v>792</v>
      </c>
      <c r="C59" s="13">
        <v>44300</v>
      </c>
      <c r="D59" s="13">
        <v>93452.17</v>
      </c>
      <c r="E59" s="13">
        <v>72722.532999999996</v>
      </c>
      <c r="F59" s="6">
        <v>55900</v>
      </c>
      <c r="G59" s="7">
        <f t="shared" ref="G59:G62" si="12">F59/C59*100</f>
        <v>126.18510158013545</v>
      </c>
    </row>
    <row r="60" spans="1:7" s="8" customFormat="1" ht="15" customHeight="1" x14ac:dyDescent="0.25">
      <c r="A60" s="138">
        <v>458</v>
      </c>
      <c r="B60" s="5" t="s">
        <v>793</v>
      </c>
      <c r="C60" s="13">
        <v>700</v>
      </c>
      <c r="D60" s="13">
        <v>740</v>
      </c>
      <c r="E60" s="13">
        <v>110</v>
      </c>
      <c r="F60" s="6">
        <v>700</v>
      </c>
      <c r="G60" s="7">
        <f t="shared" si="12"/>
        <v>100</v>
      </c>
    </row>
    <row r="61" spans="1:7" s="8" customFormat="1" ht="24" customHeight="1" x14ac:dyDescent="0.25">
      <c r="A61" s="138">
        <v>459</v>
      </c>
      <c r="B61" s="5" t="s">
        <v>794</v>
      </c>
      <c r="C61" s="13">
        <v>700</v>
      </c>
      <c r="D61" s="13">
        <v>1932.3</v>
      </c>
      <c r="E61" s="13">
        <v>1047.3578499999999</v>
      </c>
      <c r="F61" s="6">
        <v>525</v>
      </c>
      <c r="G61" s="7">
        <f t="shared" si="12"/>
        <v>75</v>
      </c>
    </row>
    <row r="62" spans="1:7" s="8" customFormat="1" ht="15" customHeight="1" x14ac:dyDescent="0.25">
      <c r="A62" s="138">
        <v>460</v>
      </c>
      <c r="B62" s="5" t="s">
        <v>795</v>
      </c>
      <c r="C62" s="13">
        <v>40000</v>
      </c>
      <c r="D62" s="13">
        <v>40000</v>
      </c>
      <c r="E62" s="13">
        <v>40000</v>
      </c>
      <c r="F62" s="6">
        <v>40000</v>
      </c>
      <c r="G62" s="7">
        <f t="shared" si="12"/>
        <v>100</v>
      </c>
    </row>
    <row r="63" spans="1:7" s="8" customFormat="1" ht="15" customHeight="1" x14ac:dyDescent="0.25">
      <c r="A63" s="393" t="s">
        <v>805</v>
      </c>
      <c r="B63" s="394"/>
      <c r="C63" s="13">
        <v>15000</v>
      </c>
      <c r="D63" s="13">
        <v>15580</v>
      </c>
      <c r="E63" s="13">
        <v>15280</v>
      </c>
      <c r="F63" s="6">
        <v>0</v>
      </c>
      <c r="G63" s="7">
        <f>F63/C63*100</f>
        <v>0</v>
      </c>
    </row>
    <row r="64" spans="1:7" s="8" customFormat="1" ht="15.75" customHeight="1" x14ac:dyDescent="0.25">
      <c r="A64" s="400" t="s">
        <v>14</v>
      </c>
      <c r="B64" s="401"/>
      <c r="C64" s="180">
        <f>SUM(C55:C63)</f>
        <v>169900</v>
      </c>
      <c r="D64" s="180">
        <f>SUM(D55:D63)</f>
        <v>191286.99</v>
      </c>
      <c r="E64" s="180">
        <f>SUM(E55:E63)</f>
        <v>159452.06085000001</v>
      </c>
      <c r="F64" s="178">
        <f t="shared" ref="F64" si="13">SUM(F55:F62)</f>
        <v>165675</v>
      </c>
      <c r="G64" s="10">
        <f t="shared" si="0"/>
        <v>97.513243084167158</v>
      </c>
    </row>
    <row r="65" spans="1:7" s="8" customFormat="1" ht="15" customHeight="1" x14ac:dyDescent="0.25">
      <c r="A65" s="138">
        <v>780</v>
      </c>
      <c r="B65" s="5" t="s">
        <v>807</v>
      </c>
      <c r="C65" s="13">
        <v>11000</v>
      </c>
      <c r="D65" s="13">
        <v>11084.74</v>
      </c>
      <c r="E65" s="13">
        <v>11084.73724</v>
      </c>
      <c r="F65" s="179">
        <v>11000</v>
      </c>
      <c r="G65" s="7">
        <f t="shared" si="0"/>
        <v>100</v>
      </c>
    </row>
    <row r="66" spans="1:7" s="8" customFormat="1" ht="15" customHeight="1" x14ac:dyDescent="0.25">
      <c r="A66" s="166">
        <v>781</v>
      </c>
      <c r="B66" s="12" t="s">
        <v>808</v>
      </c>
      <c r="C66" s="13">
        <v>525</v>
      </c>
      <c r="D66" s="13">
        <v>2245</v>
      </c>
      <c r="E66" s="13">
        <v>327.8</v>
      </c>
      <c r="F66" s="179">
        <v>850</v>
      </c>
      <c r="G66" s="7">
        <f t="shared" si="0"/>
        <v>161.9047619047619</v>
      </c>
    </row>
    <row r="67" spans="1:7" s="8" customFormat="1" ht="15" customHeight="1" x14ac:dyDescent="0.25">
      <c r="A67" s="166">
        <v>783</v>
      </c>
      <c r="B67" s="12" t="s">
        <v>809</v>
      </c>
      <c r="C67" s="13">
        <v>500</v>
      </c>
      <c r="D67" s="13">
        <v>955</v>
      </c>
      <c r="E67" s="13">
        <v>705</v>
      </c>
      <c r="F67" s="179">
        <v>375</v>
      </c>
      <c r="G67" s="7">
        <f t="shared" si="0"/>
        <v>75</v>
      </c>
    </row>
    <row r="68" spans="1:7" s="8" customFormat="1" ht="24" customHeight="1" x14ac:dyDescent="0.25">
      <c r="A68" s="393" t="s">
        <v>806</v>
      </c>
      <c r="B68" s="394"/>
      <c r="C68" s="13">
        <v>0</v>
      </c>
      <c r="D68" s="13">
        <v>15433.5</v>
      </c>
      <c r="E68" s="13">
        <v>4105.4989999999998</v>
      </c>
      <c r="F68" s="179">
        <v>0</v>
      </c>
      <c r="G68" s="177" t="s">
        <v>237</v>
      </c>
    </row>
    <row r="69" spans="1:7" s="8" customFormat="1" ht="15.75" customHeight="1" x14ac:dyDescent="0.25">
      <c r="A69" s="397" t="s">
        <v>15</v>
      </c>
      <c r="B69" s="398"/>
      <c r="C69" s="180">
        <f>SUM(C65:C68)</f>
        <v>12025</v>
      </c>
      <c r="D69" s="180">
        <f>SUM(D65:D68)</f>
        <v>29718.239999999998</v>
      </c>
      <c r="E69" s="180">
        <f>SUM(E65:E68)</f>
        <v>16223.036239999999</v>
      </c>
      <c r="F69" s="178">
        <f>SUM(F65:F68)</f>
        <v>12225</v>
      </c>
      <c r="G69" s="10">
        <f t="shared" si="0"/>
        <v>101.66320166320166</v>
      </c>
    </row>
    <row r="70" spans="1:7" s="8" customFormat="1" ht="15" customHeight="1" x14ac:dyDescent="0.25">
      <c r="A70" s="166">
        <v>865</v>
      </c>
      <c r="B70" s="12" t="s">
        <v>811</v>
      </c>
      <c r="C70" s="13">
        <v>1400</v>
      </c>
      <c r="D70" s="13">
        <v>1405.65</v>
      </c>
      <c r="E70" s="13">
        <v>515.64699999999993</v>
      </c>
      <c r="F70" s="179">
        <v>1400</v>
      </c>
      <c r="G70" s="7">
        <f t="shared" si="0"/>
        <v>100</v>
      </c>
    </row>
    <row r="71" spans="1:7" s="8" customFormat="1" ht="15" customHeight="1" x14ac:dyDescent="0.25">
      <c r="A71" s="166">
        <v>866</v>
      </c>
      <c r="B71" s="12" t="s">
        <v>812</v>
      </c>
      <c r="C71" s="13">
        <v>2000</v>
      </c>
      <c r="D71" s="13">
        <v>2000</v>
      </c>
      <c r="E71" s="13">
        <v>2000</v>
      </c>
      <c r="F71" s="179">
        <v>2000</v>
      </c>
      <c r="G71" s="7">
        <f>F71/C71*100</f>
        <v>100</v>
      </c>
    </row>
    <row r="72" spans="1:7" s="8" customFormat="1" ht="15" customHeight="1" x14ac:dyDescent="0.25">
      <c r="A72" s="166">
        <v>867</v>
      </c>
      <c r="B72" s="12" t="s">
        <v>813</v>
      </c>
      <c r="C72" s="13">
        <v>958</v>
      </c>
      <c r="D72" s="13">
        <v>2593.11</v>
      </c>
      <c r="E72" s="13">
        <v>1347.606</v>
      </c>
      <c r="F72" s="179">
        <v>718</v>
      </c>
      <c r="G72" s="7">
        <f>F72/C72*100</f>
        <v>74.947807933194156</v>
      </c>
    </row>
    <row r="73" spans="1:7" s="8" customFormat="1" ht="15" customHeight="1" x14ac:dyDescent="0.25">
      <c r="A73" s="166">
        <v>868</v>
      </c>
      <c r="B73" s="12" t="s">
        <v>814</v>
      </c>
      <c r="C73" s="13">
        <v>1125</v>
      </c>
      <c r="D73" s="13">
        <v>2300</v>
      </c>
      <c r="E73" s="13">
        <v>1800</v>
      </c>
      <c r="F73" s="179">
        <v>1344</v>
      </c>
      <c r="G73" s="7">
        <f t="shared" ref="G73" si="14">F73/C73*100</f>
        <v>119.46666666666668</v>
      </c>
    </row>
    <row r="74" spans="1:7" s="8" customFormat="1" ht="15" customHeight="1" x14ac:dyDescent="0.25">
      <c r="A74" s="166">
        <v>869</v>
      </c>
      <c r="B74" s="12" t="s">
        <v>815</v>
      </c>
      <c r="C74" s="13">
        <v>750</v>
      </c>
      <c r="D74" s="13">
        <v>750</v>
      </c>
      <c r="E74" s="13">
        <v>0</v>
      </c>
      <c r="F74" s="179">
        <v>563</v>
      </c>
      <c r="G74" s="7">
        <f>F74/C74*100</f>
        <v>75.066666666666677</v>
      </c>
    </row>
    <row r="75" spans="1:7" s="8" customFormat="1" ht="15" customHeight="1" x14ac:dyDescent="0.25">
      <c r="A75" s="166">
        <v>870</v>
      </c>
      <c r="B75" s="12" t="s">
        <v>816</v>
      </c>
      <c r="C75" s="13">
        <v>0</v>
      </c>
      <c r="D75" s="13">
        <v>29157.32</v>
      </c>
      <c r="E75" s="13">
        <v>14476.87716</v>
      </c>
      <c r="F75" s="179">
        <v>1000</v>
      </c>
      <c r="G75" s="177" t="s">
        <v>237</v>
      </c>
    </row>
    <row r="76" spans="1:7" s="8" customFormat="1" ht="24" customHeight="1" x14ac:dyDescent="0.25">
      <c r="A76" s="393" t="s">
        <v>810</v>
      </c>
      <c r="B76" s="394"/>
      <c r="C76" s="13">
        <v>0</v>
      </c>
      <c r="D76" s="13">
        <v>2603.5</v>
      </c>
      <c r="E76" s="13">
        <v>806.81736999999998</v>
      </c>
      <c r="F76" s="179">
        <v>0</v>
      </c>
      <c r="G76" s="177" t="s">
        <v>237</v>
      </c>
    </row>
    <row r="77" spans="1:7" s="8" customFormat="1" ht="15.75" customHeight="1" x14ac:dyDescent="0.25">
      <c r="A77" s="397" t="s">
        <v>17</v>
      </c>
      <c r="B77" s="398"/>
      <c r="C77" s="180">
        <f>SUM(C70:C76)</f>
        <v>6233</v>
      </c>
      <c r="D77" s="180">
        <f>SUM(D70:D76)</f>
        <v>40809.58</v>
      </c>
      <c r="E77" s="180">
        <f>SUM(E70:E76)</f>
        <v>20946.947530000001</v>
      </c>
      <c r="F77" s="9">
        <f>SUM(F70:F76)</f>
        <v>7025</v>
      </c>
      <c r="G77" s="10">
        <f>F77/C77*100</f>
        <v>112.70656184822718</v>
      </c>
    </row>
    <row r="78" spans="1:7" s="8" customFormat="1" ht="24" customHeight="1" x14ac:dyDescent="0.25">
      <c r="A78" s="393" t="s">
        <v>819</v>
      </c>
      <c r="B78" s="394"/>
      <c r="C78" s="13">
        <v>9700</v>
      </c>
      <c r="D78" s="13">
        <v>60638.76</v>
      </c>
      <c r="E78" s="13">
        <v>58440.751759999999</v>
      </c>
      <c r="F78" s="179">
        <v>0</v>
      </c>
      <c r="G78" s="7">
        <f t="shared" ref="G78" si="15">F78/C78*100</f>
        <v>0</v>
      </c>
    </row>
    <row r="79" spans="1:7" s="8" customFormat="1" ht="15.75" customHeight="1" x14ac:dyDescent="0.25">
      <c r="A79" s="397" t="s">
        <v>820</v>
      </c>
      <c r="B79" s="398"/>
      <c r="C79" s="180">
        <f>SUM(C78)</f>
        <v>9700</v>
      </c>
      <c r="D79" s="180">
        <f t="shared" ref="D79:F79" si="16">SUM(D78)</f>
        <v>60638.76</v>
      </c>
      <c r="E79" s="180">
        <f t="shared" si="16"/>
        <v>58440.751759999999</v>
      </c>
      <c r="F79" s="9">
        <f t="shared" si="16"/>
        <v>0</v>
      </c>
      <c r="G79" s="10">
        <f>F79/C79*100</f>
        <v>0</v>
      </c>
    </row>
    <row r="80" spans="1:7" s="8" customFormat="1" ht="16.5" customHeight="1" thickBot="1" x14ac:dyDescent="0.3">
      <c r="A80" s="402" t="s">
        <v>18</v>
      </c>
      <c r="B80" s="403"/>
      <c r="C80" s="15">
        <f>C79+C77+C69+C64+C54+C46+C40+C34+C31+C22+C10+C4</f>
        <v>732193</v>
      </c>
      <c r="D80" s="15">
        <f>D79+D77+D69+D64+D54+D46+D40+D34+D31+D22+D10+D4</f>
        <v>1087707.5699999998</v>
      </c>
      <c r="E80" s="15">
        <f>E79+E77+E69+E64+E54+E46+E40+E34+E31+E22+E10+E4</f>
        <v>619748.53934000002</v>
      </c>
      <c r="F80" s="15">
        <f>F79+F77+F69+F64+F54+F46+F40+F34+F31+F22+F10+F4</f>
        <v>801562</v>
      </c>
      <c r="G80" s="16">
        <f>F80/C80*100</f>
        <v>109.47414138075618</v>
      </c>
    </row>
    <row r="81" spans="1:8" ht="11.25" thickBot="1" x14ac:dyDescent="0.2">
      <c r="B81" s="18"/>
      <c r="C81" s="19"/>
      <c r="D81" s="20"/>
      <c r="E81" s="20"/>
      <c r="F81" s="19"/>
      <c r="G81" s="21"/>
    </row>
    <row r="82" spans="1:8" ht="36" customHeight="1" x14ac:dyDescent="0.15">
      <c r="A82" s="404" t="s">
        <v>818</v>
      </c>
      <c r="B82" s="405"/>
      <c r="C82" s="2" t="s">
        <v>338</v>
      </c>
      <c r="D82" s="2" t="s">
        <v>339</v>
      </c>
      <c r="E82" s="2" t="s">
        <v>340</v>
      </c>
      <c r="F82" s="2" t="s">
        <v>341</v>
      </c>
      <c r="G82" s="3" t="s">
        <v>342</v>
      </c>
    </row>
    <row r="83" spans="1:8" ht="15" customHeight="1" x14ac:dyDescent="0.15">
      <c r="A83" s="393" t="s">
        <v>112</v>
      </c>
      <c r="B83" s="394"/>
      <c r="C83" s="13">
        <f>C4</f>
        <v>30</v>
      </c>
      <c r="D83" s="13">
        <f>D4</f>
        <v>120</v>
      </c>
      <c r="E83" s="13">
        <f>E4</f>
        <v>30</v>
      </c>
      <c r="F83" s="6">
        <f>F4</f>
        <v>30</v>
      </c>
      <c r="G83" s="7">
        <f t="shared" ref="G83:G95" si="17">F83/C83*100</f>
        <v>100</v>
      </c>
    </row>
    <row r="84" spans="1:8" ht="15" customHeight="1" x14ac:dyDescent="0.2">
      <c r="A84" s="393" t="s">
        <v>177</v>
      </c>
      <c r="B84" s="399"/>
      <c r="C84" s="13">
        <f>C10</f>
        <v>127100</v>
      </c>
      <c r="D84" s="13">
        <f t="shared" ref="D84:F84" si="18">D10</f>
        <v>118166</v>
      </c>
      <c r="E84" s="13">
        <f t="shared" si="18"/>
        <v>63061.759969999999</v>
      </c>
      <c r="F84" s="6">
        <f t="shared" si="18"/>
        <v>266739</v>
      </c>
      <c r="G84" s="7">
        <f t="shared" si="17"/>
        <v>209.86546026750591</v>
      </c>
    </row>
    <row r="85" spans="1:8" ht="15" customHeight="1" x14ac:dyDescent="0.2">
      <c r="A85" s="393" t="s">
        <v>20</v>
      </c>
      <c r="B85" s="399"/>
      <c r="C85" s="13">
        <f>C22</f>
        <v>129513</v>
      </c>
      <c r="D85" s="13">
        <f t="shared" ref="D85:F85" si="19">D22</f>
        <v>217315.89</v>
      </c>
      <c r="E85" s="13">
        <f t="shared" si="19"/>
        <v>103832.38975</v>
      </c>
      <c r="F85" s="6">
        <f t="shared" si="19"/>
        <v>91970</v>
      </c>
      <c r="G85" s="7">
        <f t="shared" si="17"/>
        <v>71.012176383837911</v>
      </c>
    </row>
    <row r="86" spans="1:8" ht="15" customHeight="1" x14ac:dyDescent="0.2">
      <c r="A86" s="393" t="s">
        <v>21</v>
      </c>
      <c r="B86" s="399"/>
      <c r="C86" s="13">
        <f>C31</f>
        <v>193600</v>
      </c>
      <c r="D86" s="13">
        <f>D31</f>
        <v>258561.2</v>
      </c>
      <c r="E86" s="13">
        <f>E31</f>
        <v>140337.68959999998</v>
      </c>
      <c r="F86" s="6">
        <f>F31</f>
        <v>193600</v>
      </c>
      <c r="G86" s="7">
        <f t="shared" si="17"/>
        <v>100</v>
      </c>
    </row>
    <row r="87" spans="1:8" ht="15" customHeight="1" x14ac:dyDescent="0.2">
      <c r="A87" s="393" t="s">
        <v>817</v>
      </c>
      <c r="B87" s="399"/>
      <c r="C87" s="13">
        <f>C34</f>
        <v>4400</v>
      </c>
      <c r="D87" s="13">
        <f t="shared" ref="D87:F87" si="20">D34</f>
        <v>5880</v>
      </c>
      <c r="E87" s="13">
        <f t="shared" si="20"/>
        <v>5280</v>
      </c>
      <c r="F87" s="6">
        <f t="shared" si="20"/>
        <v>4400</v>
      </c>
      <c r="G87" s="7">
        <f t="shared" si="17"/>
        <v>100</v>
      </c>
    </row>
    <row r="88" spans="1:8" ht="15" customHeight="1" x14ac:dyDescent="0.2">
      <c r="A88" s="393" t="s">
        <v>22</v>
      </c>
      <c r="B88" s="399"/>
      <c r="C88" s="13">
        <f>C40</f>
        <v>33731</v>
      </c>
      <c r="D88" s="13">
        <f>D40</f>
        <v>58971.509999999995</v>
      </c>
      <c r="E88" s="13">
        <f>E40</f>
        <v>20739.321199999998</v>
      </c>
      <c r="F88" s="6">
        <f>F40</f>
        <v>30291</v>
      </c>
      <c r="G88" s="7">
        <f t="shared" si="17"/>
        <v>89.80166612315081</v>
      </c>
    </row>
    <row r="89" spans="1:8" ht="15" customHeight="1" x14ac:dyDescent="0.2">
      <c r="A89" s="393" t="s">
        <v>23</v>
      </c>
      <c r="B89" s="399"/>
      <c r="C89" s="13">
        <f>C46</f>
        <v>28421</v>
      </c>
      <c r="D89" s="13">
        <f>D46</f>
        <v>85314.4</v>
      </c>
      <c r="E89" s="13">
        <f>E46</f>
        <v>22556.98244</v>
      </c>
      <c r="F89" s="6">
        <f>F46</f>
        <v>19532</v>
      </c>
      <c r="G89" s="7">
        <f t="shared" si="17"/>
        <v>68.72383097005735</v>
      </c>
    </row>
    <row r="90" spans="1:8" ht="15" customHeight="1" x14ac:dyDescent="0.2">
      <c r="A90" s="393" t="s">
        <v>24</v>
      </c>
      <c r="B90" s="399"/>
      <c r="C90" s="13">
        <f>C54</f>
        <v>17540</v>
      </c>
      <c r="D90" s="13">
        <f>D54</f>
        <v>20925</v>
      </c>
      <c r="E90" s="13">
        <f>E54</f>
        <v>8847.6</v>
      </c>
      <c r="F90" s="6">
        <f>F54</f>
        <v>10075</v>
      </c>
      <c r="G90" s="7">
        <f t="shared" si="17"/>
        <v>57.440136830102617</v>
      </c>
    </row>
    <row r="91" spans="1:8" ht="15" customHeight="1" x14ac:dyDescent="0.2">
      <c r="A91" s="393" t="s">
        <v>25</v>
      </c>
      <c r="B91" s="399"/>
      <c r="C91" s="13">
        <f>C64</f>
        <v>169900</v>
      </c>
      <c r="D91" s="13">
        <f>D64</f>
        <v>191286.99</v>
      </c>
      <c r="E91" s="13">
        <f>E64</f>
        <v>159452.06085000001</v>
      </c>
      <c r="F91" s="6">
        <f>F64</f>
        <v>165675</v>
      </c>
      <c r="G91" s="7">
        <f t="shared" si="17"/>
        <v>97.513243084167158</v>
      </c>
    </row>
    <row r="92" spans="1:8" ht="15" customHeight="1" x14ac:dyDescent="0.2">
      <c r="A92" s="393" t="s">
        <v>26</v>
      </c>
      <c r="B92" s="399"/>
      <c r="C92" s="13">
        <f>C69</f>
        <v>12025</v>
      </c>
      <c r="D92" s="13">
        <f>D69</f>
        <v>29718.239999999998</v>
      </c>
      <c r="E92" s="13">
        <f>E69</f>
        <v>16223.036239999999</v>
      </c>
      <c r="F92" s="6">
        <f>F69</f>
        <v>12225</v>
      </c>
      <c r="G92" s="7">
        <f t="shared" si="17"/>
        <v>101.66320166320166</v>
      </c>
    </row>
    <row r="93" spans="1:8" ht="15" customHeight="1" x14ac:dyDescent="0.2">
      <c r="A93" s="393" t="s">
        <v>27</v>
      </c>
      <c r="B93" s="399"/>
      <c r="C93" s="13">
        <f>C77</f>
        <v>6233</v>
      </c>
      <c r="D93" s="13">
        <f>D77</f>
        <v>40809.58</v>
      </c>
      <c r="E93" s="13">
        <f>E77</f>
        <v>20946.947530000001</v>
      </c>
      <c r="F93" s="6">
        <f>F77</f>
        <v>7025</v>
      </c>
      <c r="G93" s="7">
        <f t="shared" si="17"/>
        <v>112.70656184822718</v>
      </c>
    </row>
    <row r="94" spans="1:8" ht="15" customHeight="1" x14ac:dyDescent="0.2">
      <c r="A94" s="393" t="s">
        <v>821</v>
      </c>
      <c r="B94" s="399"/>
      <c r="C94" s="389">
        <f>C79</f>
        <v>9700</v>
      </c>
      <c r="D94" s="389">
        <f t="shared" ref="D94:F94" si="21">D79</f>
        <v>60638.76</v>
      </c>
      <c r="E94" s="389">
        <f t="shared" si="21"/>
        <v>58440.751759999999</v>
      </c>
      <c r="F94" s="6">
        <f t="shared" si="21"/>
        <v>0</v>
      </c>
      <c r="G94" s="7">
        <f t="shared" si="17"/>
        <v>0</v>
      </c>
    </row>
    <row r="95" spans="1:8" s="8" customFormat="1" ht="16.5" customHeight="1" thickBot="1" x14ac:dyDescent="0.3">
      <c r="A95" s="402" t="s">
        <v>18</v>
      </c>
      <c r="B95" s="403"/>
      <c r="C95" s="15">
        <f>SUM(C83:C94)</f>
        <v>732193</v>
      </c>
      <c r="D95" s="15">
        <f t="shared" ref="D95:F95" si="22">SUM(D83:D94)</f>
        <v>1087707.57</v>
      </c>
      <c r="E95" s="15">
        <f t="shared" si="22"/>
        <v>619748.53934000002</v>
      </c>
      <c r="F95" s="15">
        <f t="shared" si="22"/>
        <v>801562</v>
      </c>
      <c r="G95" s="16">
        <f t="shared" si="17"/>
        <v>109.47414138075618</v>
      </c>
    </row>
    <row r="96" spans="1:8" s="8" customFormat="1" ht="12.75" x14ac:dyDescent="0.2">
      <c r="A96" s="17"/>
      <c r="B96" s="22"/>
      <c r="D96" s="23"/>
      <c r="E96" s="23"/>
      <c r="H96" s="1"/>
    </row>
    <row r="97" spans="1:8" s="8" customFormat="1" ht="12.75" x14ac:dyDescent="0.2">
      <c r="A97" s="17"/>
      <c r="B97" s="22"/>
      <c r="D97" s="23"/>
      <c r="E97" s="23"/>
      <c r="H97" s="1"/>
    </row>
  </sheetData>
  <mergeCells count="38">
    <mergeCell ref="A69:B69"/>
    <mergeCell ref="A76:B76"/>
    <mergeCell ref="A1:G1"/>
    <mergeCell ref="A4:B4"/>
    <mergeCell ref="A30:B30"/>
    <mergeCell ref="A31:B31"/>
    <mergeCell ref="A39:B39"/>
    <mergeCell ref="A40:B40"/>
    <mergeCell ref="A22:B22"/>
    <mergeCell ref="A10:B10"/>
    <mergeCell ref="A34:B34"/>
    <mergeCell ref="A83:B83"/>
    <mergeCell ref="A86:B86"/>
    <mergeCell ref="A85:B85"/>
    <mergeCell ref="A84:B84"/>
    <mergeCell ref="A78:B78"/>
    <mergeCell ref="A79:B79"/>
    <mergeCell ref="A91:B91"/>
    <mergeCell ref="A92:B92"/>
    <mergeCell ref="A93:B93"/>
    <mergeCell ref="A95:B95"/>
    <mergeCell ref="A94:B94"/>
    <mergeCell ref="A89:B89"/>
    <mergeCell ref="A90:B90"/>
    <mergeCell ref="A88:B88"/>
    <mergeCell ref="A87:B87"/>
    <mergeCell ref="A21:B21"/>
    <mergeCell ref="A33:B33"/>
    <mergeCell ref="A53:B53"/>
    <mergeCell ref="A63:B63"/>
    <mergeCell ref="A68:B68"/>
    <mergeCell ref="A45:B45"/>
    <mergeCell ref="A46:B46"/>
    <mergeCell ref="A54:B54"/>
    <mergeCell ref="A64:B64"/>
    <mergeCell ref="A77:B77"/>
    <mergeCell ref="A80:B80"/>
    <mergeCell ref="A82:B82"/>
  </mergeCells>
  <printOptions horizontalCentered="1"/>
  <pageMargins left="0.31496062992125984" right="0.31496062992125984" top="0.78740157480314965" bottom="0.39370078740157483" header="0.31496062992125984" footer="0.11811023622047245"/>
  <pageSetup paperSize="9" scale="86" firstPageNumber="4" fitToHeight="0" orientation="portrait" useFirstPageNumber="1" r:id="rId1"/>
  <headerFooter>
    <oddHeader>&amp;L&amp;"Tahoma,Kurzíva"&amp;10Návrh rozpočtu na rok 2025
Příloha č. 9&amp;R&amp;"Tahoma,Kurzíva"&amp;10Přehled prostředků na individuální dotace v návrhu rozpočtu kraje na rok 2025</oddHeader>
    <oddFooter>&amp;C&amp;"Tahoma,Obyčejné"&amp;10&amp;P</oddFooter>
  </headerFooter>
  <rowBreaks count="1" manualBreakCount="1">
    <brk id="49" max="6" man="1"/>
  </rowBreaks>
  <ignoredErrors>
    <ignoredError sqref="F6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AA2B-5D9F-45EC-A8F3-652EDB85FEC8}">
  <sheetPr>
    <pageSetUpPr fitToPage="1"/>
  </sheetPr>
  <dimension ref="A1:Q210"/>
  <sheetViews>
    <sheetView topLeftCell="B1" zoomScaleNormal="100" zoomScaleSheetLayoutView="100" workbookViewId="0">
      <pane ySplit="4" topLeftCell="A5" activePane="bottomLeft" state="frozen"/>
      <selection activeCell="J7" sqref="J7"/>
      <selection pane="bottomLeft" activeCell="C79" sqref="C79"/>
    </sheetView>
  </sheetViews>
  <sheetFormatPr defaultColWidth="9.28515625" defaultRowHeight="10.5" x14ac:dyDescent="0.15"/>
  <cols>
    <col min="1" max="1" width="4" style="327" hidden="1" customWidth="1"/>
    <col min="2" max="2" width="6.42578125" style="327" customWidth="1"/>
    <col min="3" max="3" width="42.7109375" style="328" customWidth="1"/>
    <col min="4" max="4" width="5" style="327" hidden="1" customWidth="1"/>
    <col min="5" max="5" width="8.28515625" style="327" hidden="1" customWidth="1"/>
    <col min="6" max="6" width="9.7109375" style="329" hidden="1" customWidth="1"/>
    <col min="7" max="7" width="9.7109375" style="330" hidden="1" customWidth="1"/>
    <col min="8" max="8" width="9.7109375" style="331" customWidth="1"/>
    <col min="9" max="9" width="9.7109375" style="327" customWidth="1"/>
    <col min="10" max="10" width="10.7109375" style="327" customWidth="1"/>
    <col min="11" max="16" width="9.5703125" style="327" customWidth="1"/>
    <col min="17" max="17" width="35.7109375" style="327" customWidth="1"/>
    <col min="18" max="16384" width="9.28515625" style="327"/>
  </cols>
  <sheetData>
    <row r="1" spans="1:17" ht="40.5" customHeight="1" x14ac:dyDescent="0.15">
      <c r="B1" s="421" t="s">
        <v>728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</row>
    <row r="2" spans="1:17" ht="13.5" customHeight="1" thickBot="1" x14ac:dyDescent="0.2">
      <c r="Q2" s="384" t="s">
        <v>31</v>
      </c>
    </row>
    <row r="3" spans="1:17" s="332" customFormat="1" ht="24" customHeight="1" x14ac:dyDescent="0.15">
      <c r="A3" s="423" t="s">
        <v>271</v>
      </c>
      <c r="B3" s="425" t="s">
        <v>512</v>
      </c>
      <c r="C3" s="427" t="s">
        <v>34</v>
      </c>
      <c r="D3" s="427" t="s">
        <v>513</v>
      </c>
      <c r="E3" s="427" t="s">
        <v>514</v>
      </c>
      <c r="F3" s="430" t="s">
        <v>515</v>
      </c>
      <c r="G3" s="431"/>
      <c r="H3" s="413" t="s">
        <v>516</v>
      </c>
      <c r="I3" s="413" t="s">
        <v>727</v>
      </c>
      <c r="J3" s="413" t="s">
        <v>721</v>
      </c>
      <c r="K3" s="413" t="s">
        <v>517</v>
      </c>
      <c r="L3" s="413" t="s">
        <v>730</v>
      </c>
      <c r="M3" s="416" t="s">
        <v>126</v>
      </c>
      <c r="N3" s="417"/>
      <c r="O3" s="417"/>
      <c r="P3" s="418"/>
      <c r="Q3" s="419" t="s">
        <v>35</v>
      </c>
    </row>
    <row r="4" spans="1:17" s="332" customFormat="1" ht="24" customHeight="1" thickBot="1" x14ac:dyDescent="0.2">
      <c r="A4" s="424"/>
      <c r="B4" s="426"/>
      <c r="C4" s="428"/>
      <c r="D4" s="429"/>
      <c r="E4" s="429"/>
      <c r="F4" s="333" t="s">
        <v>518</v>
      </c>
      <c r="G4" s="334" t="s">
        <v>519</v>
      </c>
      <c r="H4" s="414"/>
      <c r="I4" s="414"/>
      <c r="J4" s="414"/>
      <c r="K4" s="414"/>
      <c r="L4" s="415"/>
      <c r="M4" s="335">
        <v>2026</v>
      </c>
      <c r="N4" s="335">
        <v>2027</v>
      </c>
      <c r="O4" s="335">
        <v>2028</v>
      </c>
      <c r="P4" s="335" t="s">
        <v>423</v>
      </c>
      <c r="Q4" s="420"/>
    </row>
    <row r="5" spans="1:17" s="342" customFormat="1" ht="18" customHeight="1" x14ac:dyDescent="0.25">
      <c r="A5" s="336"/>
      <c r="B5" s="337" t="s">
        <v>520</v>
      </c>
      <c r="C5" s="338"/>
      <c r="D5" s="336"/>
      <c r="E5" s="336"/>
      <c r="F5" s="339"/>
      <c r="G5" s="340"/>
      <c r="H5" s="338"/>
      <c r="I5" s="338"/>
      <c r="J5" s="338"/>
      <c r="K5" s="338"/>
      <c r="L5" s="338"/>
      <c r="M5" s="338"/>
      <c r="N5" s="338"/>
      <c r="O5" s="338"/>
      <c r="P5" s="338"/>
      <c r="Q5" s="341"/>
    </row>
    <row r="6" spans="1:17" s="349" customFormat="1" ht="45" customHeight="1" x14ac:dyDescent="0.25">
      <c r="A6" s="343">
        <v>7</v>
      </c>
      <c r="B6" s="385">
        <v>13</v>
      </c>
      <c r="C6" s="344" t="s">
        <v>521</v>
      </c>
      <c r="D6" s="345">
        <v>4077</v>
      </c>
      <c r="E6" s="345" t="s">
        <v>522</v>
      </c>
      <c r="F6" s="346">
        <v>3000</v>
      </c>
      <c r="G6" s="347" t="s">
        <v>239</v>
      </c>
      <c r="H6" s="130">
        <f>I6+J6+K6+L6+M6+N6+O6+P6</f>
        <v>17215</v>
      </c>
      <c r="I6" s="130">
        <v>0</v>
      </c>
      <c r="J6" s="130">
        <v>0</v>
      </c>
      <c r="K6" s="130">
        <f>0+177+500+115</f>
        <v>792</v>
      </c>
      <c r="L6" s="43">
        <f>2000+4423+5000+2000</f>
        <v>13423</v>
      </c>
      <c r="M6" s="130">
        <v>3000</v>
      </c>
      <c r="N6" s="130">
        <v>0</v>
      </c>
      <c r="O6" s="130">
        <v>0</v>
      </c>
      <c r="P6" s="130">
        <v>0</v>
      </c>
      <c r="Q6" s="348" t="s">
        <v>726</v>
      </c>
    </row>
    <row r="7" spans="1:17" s="349" customFormat="1" ht="45" customHeight="1" x14ac:dyDescent="0.25">
      <c r="A7" s="343">
        <v>2</v>
      </c>
      <c r="B7" s="385">
        <v>16</v>
      </c>
      <c r="C7" s="344" t="s">
        <v>524</v>
      </c>
      <c r="D7" s="345">
        <v>5338</v>
      </c>
      <c r="E7" s="345" t="s">
        <v>525</v>
      </c>
      <c r="F7" s="346">
        <v>19900</v>
      </c>
      <c r="G7" s="347" t="s">
        <v>523</v>
      </c>
      <c r="H7" s="130">
        <f>L7</f>
        <v>5600</v>
      </c>
      <c r="I7" s="130">
        <v>0</v>
      </c>
      <c r="J7" s="130">
        <v>0</v>
      </c>
      <c r="K7" s="130">
        <v>15370</v>
      </c>
      <c r="L7" s="43">
        <v>5600</v>
      </c>
      <c r="M7" s="130">
        <v>16800</v>
      </c>
      <c r="N7" s="130">
        <v>0</v>
      </c>
      <c r="O7" s="130">
        <v>0</v>
      </c>
      <c r="P7" s="130">
        <v>0</v>
      </c>
      <c r="Q7" s="348" t="s">
        <v>526</v>
      </c>
    </row>
    <row r="8" spans="1:17" s="349" customFormat="1" ht="26.25" customHeight="1" x14ac:dyDescent="0.25">
      <c r="A8" s="343"/>
      <c r="B8" s="411" t="s">
        <v>527</v>
      </c>
      <c r="C8" s="412"/>
      <c r="D8" s="350"/>
      <c r="E8" s="350"/>
      <c r="F8" s="351"/>
      <c r="G8" s="352"/>
      <c r="H8" s="353">
        <f t="shared" ref="H8:K8" si="0">SUM(H6:H7)</f>
        <v>22815</v>
      </c>
      <c r="I8" s="353">
        <f t="shared" si="0"/>
        <v>0</v>
      </c>
      <c r="J8" s="353">
        <f t="shared" si="0"/>
        <v>0</v>
      </c>
      <c r="K8" s="353">
        <f t="shared" si="0"/>
        <v>16162</v>
      </c>
      <c r="L8" s="353">
        <f>SUM(L6:L7)</f>
        <v>19023</v>
      </c>
      <c r="M8" s="353">
        <f t="shared" ref="M8:P8" si="1">SUM(M6:M7)</f>
        <v>19800</v>
      </c>
      <c r="N8" s="353">
        <f t="shared" si="1"/>
        <v>0</v>
      </c>
      <c r="O8" s="353">
        <f t="shared" si="1"/>
        <v>0</v>
      </c>
      <c r="P8" s="353">
        <f t="shared" si="1"/>
        <v>0</v>
      </c>
      <c r="Q8" s="354"/>
    </row>
    <row r="9" spans="1:17" s="342" customFormat="1" ht="18" customHeight="1" x14ac:dyDescent="0.25">
      <c r="A9" s="336"/>
      <c r="B9" s="337" t="s">
        <v>528</v>
      </c>
      <c r="C9" s="338"/>
      <c r="D9" s="336"/>
      <c r="E9" s="336"/>
      <c r="F9" s="339"/>
      <c r="G9" s="340"/>
      <c r="H9" s="338"/>
      <c r="I9" s="338"/>
      <c r="J9" s="338"/>
      <c r="K9" s="338"/>
      <c r="L9" s="338"/>
      <c r="M9" s="338"/>
      <c r="N9" s="338"/>
      <c r="O9" s="338"/>
      <c r="P9" s="338"/>
      <c r="Q9" s="341"/>
    </row>
    <row r="10" spans="1:17" s="349" customFormat="1" ht="34.5" customHeight="1" x14ac:dyDescent="0.25">
      <c r="A10" s="343">
        <v>7</v>
      </c>
      <c r="B10" s="386">
        <v>37</v>
      </c>
      <c r="C10" s="355" t="s">
        <v>529</v>
      </c>
      <c r="D10" s="356">
        <v>5344</v>
      </c>
      <c r="E10" s="345" t="s">
        <v>530</v>
      </c>
      <c r="F10" s="406" t="s">
        <v>531</v>
      </c>
      <c r="G10" s="407"/>
      <c r="H10" s="357">
        <f>L10</f>
        <v>50000</v>
      </c>
      <c r="I10" s="357">
        <v>0</v>
      </c>
      <c r="J10" s="357">
        <v>0</v>
      </c>
      <c r="K10" s="357">
        <v>0</v>
      </c>
      <c r="L10" s="358">
        <v>50000</v>
      </c>
      <c r="M10" s="357">
        <v>50000</v>
      </c>
      <c r="N10" s="357">
        <v>50000</v>
      </c>
      <c r="O10" s="357">
        <v>50000</v>
      </c>
      <c r="P10" s="357">
        <v>0</v>
      </c>
      <c r="Q10" s="348" t="s">
        <v>532</v>
      </c>
    </row>
    <row r="11" spans="1:17" s="349" customFormat="1" ht="34.5" customHeight="1" x14ac:dyDescent="0.25">
      <c r="A11" s="343">
        <v>7</v>
      </c>
      <c r="B11" s="386">
        <v>39</v>
      </c>
      <c r="C11" s="355" t="s">
        <v>533</v>
      </c>
      <c r="D11" s="356">
        <v>4707</v>
      </c>
      <c r="E11" s="345" t="s">
        <v>534</v>
      </c>
      <c r="F11" s="406" t="s">
        <v>531</v>
      </c>
      <c r="G11" s="407"/>
      <c r="H11" s="357">
        <f>L11</f>
        <v>3000</v>
      </c>
      <c r="I11" s="357">
        <v>0</v>
      </c>
      <c r="J11" s="357">
        <v>0</v>
      </c>
      <c r="K11" s="357">
        <v>0</v>
      </c>
      <c r="L11" s="358">
        <v>3000</v>
      </c>
      <c r="M11" s="357">
        <v>0</v>
      </c>
      <c r="N11" s="357">
        <v>0</v>
      </c>
      <c r="O11" s="357">
        <v>0</v>
      </c>
      <c r="P11" s="357">
        <v>0</v>
      </c>
      <c r="Q11" s="348" t="s">
        <v>532</v>
      </c>
    </row>
    <row r="12" spans="1:17" s="349" customFormat="1" ht="15.75" customHeight="1" x14ac:dyDescent="0.25">
      <c r="A12" s="343"/>
      <c r="B12" s="359" t="s">
        <v>535</v>
      </c>
      <c r="C12" s="360"/>
      <c r="D12" s="350"/>
      <c r="E12" s="350"/>
      <c r="F12" s="361"/>
      <c r="G12" s="352"/>
      <c r="H12" s="353">
        <f t="shared" ref="H12:K12" si="2">SUM(H10:H11)</f>
        <v>53000</v>
      </c>
      <c r="I12" s="353">
        <f t="shared" si="2"/>
        <v>0</v>
      </c>
      <c r="J12" s="353">
        <f t="shared" si="2"/>
        <v>0</v>
      </c>
      <c r="K12" s="353">
        <f t="shared" si="2"/>
        <v>0</v>
      </c>
      <c r="L12" s="353">
        <f>SUM(L10:L11)</f>
        <v>53000</v>
      </c>
      <c r="M12" s="353">
        <f t="shared" ref="M12:P12" si="3">SUM(M10:M11)</f>
        <v>50000</v>
      </c>
      <c r="N12" s="353">
        <f t="shared" si="3"/>
        <v>50000</v>
      </c>
      <c r="O12" s="353">
        <f t="shared" si="3"/>
        <v>50000</v>
      </c>
      <c r="P12" s="353">
        <f t="shared" si="3"/>
        <v>0</v>
      </c>
      <c r="Q12" s="354"/>
    </row>
    <row r="13" spans="1:17" s="342" customFormat="1" ht="18" customHeight="1" x14ac:dyDescent="0.25">
      <c r="A13" s="336"/>
      <c r="B13" s="362" t="s">
        <v>183</v>
      </c>
      <c r="C13" s="338"/>
      <c r="D13" s="336"/>
      <c r="E13" s="336"/>
      <c r="F13" s="339"/>
      <c r="G13" s="340"/>
      <c r="H13" s="338"/>
      <c r="I13" s="338"/>
      <c r="J13" s="338"/>
      <c r="K13" s="338"/>
      <c r="L13" s="338"/>
      <c r="M13" s="338"/>
      <c r="N13" s="338"/>
      <c r="O13" s="338"/>
      <c r="P13" s="338"/>
      <c r="Q13" s="341"/>
    </row>
    <row r="14" spans="1:17" s="349" customFormat="1" ht="34.5" customHeight="1" x14ac:dyDescent="0.25">
      <c r="A14" s="343">
        <v>16</v>
      </c>
      <c r="B14" s="386">
        <v>67</v>
      </c>
      <c r="C14" s="355" t="s">
        <v>722</v>
      </c>
      <c r="D14" s="356">
        <v>4355</v>
      </c>
      <c r="E14" s="345" t="s">
        <v>536</v>
      </c>
      <c r="F14" s="406" t="s">
        <v>531</v>
      </c>
      <c r="G14" s="407"/>
      <c r="H14" s="357">
        <v>399858</v>
      </c>
      <c r="I14" s="357">
        <v>0</v>
      </c>
      <c r="J14" s="357">
        <v>0</v>
      </c>
      <c r="K14" s="357">
        <v>598701</v>
      </c>
      <c r="L14" s="358">
        <v>399858</v>
      </c>
      <c r="M14" s="357">
        <v>0</v>
      </c>
      <c r="N14" s="357">
        <v>0</v>
      </c>
      <c r="O14" s="357">
        <v>0</v>
      </c>
      <c r="P14" s="357">
        <v>0</v>
      </c>
      <c r="Q14" s="348" t="s">
        <v>532</v>
      </c>
    </row>
    <row r="15" spans="1:17" s="349" customFormat="1" ht="34.5" customHeight="1" x14ac:dyDescent="0.25">
      <c r="A15" s="343">
        <v>16</v>
      </c>
      <c r="B15" s="386">
        <v>69</v>
      </c>
      <c r="C15" s="355" t="s">
        <v>537</v>
      </c>
      <c r="D15" s="356">
        <v>4340</v>
      </c>
      <c r="E15" s="345" t="s">
        <v>536</v>
      </c>
      <c r="F15" s="406" t="s">
        <v>531</v>
      </c>
      <c r="G15" s="407"/>
      <c r="H15" s="357">
        <f>L15</f>
        <v>30000</v>
      </c>
      <c r="I15" s="357">
        <v>0</v>
      </c>
      <c r="J15" s="357">
        <v>0</v>
      </c>
      <c r="K15" s="357">
        <v>60000</v>
      </c>
      <c r="L15" s="358">
        <v>30000</v>
      </c>
      <c r="M15" s="357">
        <v>0</v>
      </c>
      <c r="N15" s="357">
        <v>0</v>
      </c>
      <c r="O15" s="357">
        <v>0</v>
      </c>
      <c r="P15" s="357">
        <v>0</v>
      </c>
      <c r="Q15" s="348" t="s">
        <v>532</v>
      </c>
    </row>
    <row r="16" spans="1:17" s="349" customFormat="1" ht="34.5" customHeight="1" x14ac:dyDescent="0.25">
      <c r="A16" s="343">
        <v>16</v>
      </c>
      <c r="B16" s="386">
        <v>71</v>
      </c>
      <c r="C16" s="355" t="s">
        <v>723</v>
      </c>
      <c r="D16" s="356">
        <v>4450</v>
      </c>
      <c r="E16" s="345" t="s">
        <v>536</v>
      </c>
      <c r="F16" s="406" t="s">
        <v>531</v>
      </c>
      <c r="G16" s="407"/>
      <c r="H16" s="357">
        <f>L16</f>
        <v>4000</v>
      </c>
      <c r="I16" s="357">
        <v>0</v>
      </c>
      <c r="J16" s="357">
        <v>0</v>
      </c>
      <c r="K16" s="357">
        <v>4000</v>
      </c>
      <c r="L16" s="358">
        <v>4000</v>
      </c>
      <c r="M16" s="357">
        <v>0</v>
      </c>
      <c r="N16" s="357">
        <v>0</v>
      </c>
      <c r="O16" s="357">
        <v>0</v>
      </c>
      <c r="P16" s="357">
        <v>0</v>
      </c>
      <c r="Q16" s="348" t="s">
        <v>532</v>
      </c>
    </row>
    <row r="17" spans="1:17" s="349" customFormat="1" ht="46.9" customHeight="1" x14ac:dyDescent="0.25">
      <c r="A17" s="343">
        <v>16</v>
      </c>
      <c r="B17" s="386">
        <v>73</v>
      </c>
      <c r="C17" s="355" t="s">
        <v>538</v>
      </c>
      <c r="D17" s="356">
        <v>4572</v>
      </c>
      <c r="E17" s="345" t="s">
        <v>536</v>
      </c>
      <c r="F17" s="406" t="s">
        <v>531</v>
      </c>
      <c r="G17" s="407"/>
      <c r="H17" s="357">
        <f>I17+J17+K17+L17+M17+N17+O17+P17</f>
        <v>60000</v>
      </c>
      <c r="I17" s="357">
        <v>0</v>
      </c>
      <c r="J17" s="357">
        <v>0</v>
      </c>
      <c r="K17" s="357">
        <v>12000</v>
      </c>
      <c r="L17" s="358">
        <v>48000</v>
      </c>
      <c r="M17" s="357">
        <v>0</v>
      </c>
      <c r="N17" s="357">
        <v>0</v>
      </c>
      <c r="O17" s="357">
        <v>0</v>
      </c>
      <c r="P17" s="357">
        <v>0</v>
      </c>
      <c r="Q17" s="363" t="s">
        <v>539</v>
      </c>
    </row>
    <row r="18" spans="1:17" s="349" customFormat="1" ht="34.5" customHeight="1" x14ac:dyDescent="0.25">
      <c r="A18" s="343">
        <v>16</v>
      </c>
      <c r="B18" s="386">
        <v>75</v>
      </c>
      <c r="C18" s="355" t="s">
        <v>540</v>
      </c>
      <c r="D18" s="356">
        <v>4334</v>
      </c>
      <c r="E18" s="233" t="s">
        <v>536</v>
      </c>
      <c r="F18" s="406" t="s">
        <v>531</v>
      </c>
      <c r="G18" s="407"/>
      <c r="H18" s="357">
        <f>I18+J18+K18+L18+M18+N18+O18+P18</f>
        <v>69000</v>
      </c>
      <c r="I18" s="357">
        <v>0</v>
      </c>
      <c r="J18" s="357">
        <v>228.69</v>
      </c>
      <c r="K18" s="357">
        <v>6771.31</v>
      </c>
      <c r="L18" s="358">
        <v>1000</v>
      </c>
      <c r="M18" s="357">
        <v>25000</v>
      </c>
      <c r="N18" s="357">
        <v>36000</v>
      </c>
      <c r="O18" s="357">
        <v>0</v>
      </c>
      <c r="P18" s="357">
        <v>0</v>
      </c>
      <c r="Q18" s="348" t="s">
        <v>541</v>
      </c>
    </row>
    <row r="19" spans="1:17" s="349" customFormat="1" ht="34.5" customHeight="1" x14ac:dyDescent="0.25">
      <c r="A19" s="343">
        <v>16</v>
      </c>
      <c r="B19" s="386">
        <v>77</v>
      </c>
      <c r="C19" s="355" t="s">
        <v>542</v>
      </c>
      <c r="D19" s="356">
        <v>4700</v>
      </c>
      <c r="E19" s="345" t="s">
        <v>536</v>
      </c>
      <c r="F19" s="406" t="s">
        <v>531</v>
      </c>
      <c r="G19" s="407"/>
      <c r="H19" s="357">
        <f>L19</f>
        <v>221800</v>
      </c>
      <c r="I19" s="357">
        <v>0</v>
      </c>
      <c r="J19" s="357">
        <v>0</v>
      </c>
      <c r="K19" s="357">
        <v>188904.76</v>
      </c>
      <c r="L19" s="358">
        <v>221800</v>
      </c>
      <c r="M19" s="357">
        <v>0</v>
      </c>
      <c r="N19" s="357">
        <v>0</v>
      </c>
      <c r="O19" s="357">
        <v>0</v>
      </c>
      <c r="P19" s="357">
        <v>0</v>
      </c>
      <c r="Q19" s="348" t="s">
        <v>532</v>
      </c>
    </row>
    <row r="20" spans="1:17" s="349" customFormat="1" ht="34.5" customHeight="1" x14ac:dyDescent="0.25">
      <c r="A20" s="343">
        <v>7</v>
      </c>
      <c r="B20" s="386">
        <v>79</v>
      </c>
      <c r="C20" s="355" t="s">
        <v>543</v>
      </c>
      <c r="D20" s="356">
        <v>4788</v>
      </c>
      <c r="E20" s="345" t="s">
        <v>534</v>
      </c>
      <c r="F20" s="406" t="s">
        <v>531</v>
      </c>
      <c r="G20" s="407"/>
      <c r="H20" s="357">
        <f>L20</f>
        <v>5000</v>
      </c>
      <c r="I20" s="357">
        <v>0</v>
      </c>
      <c r="J20" s="357">
        <v>0</v>
      </c>
      <c r="K20" s="357">
        <v>5000</v>
      </c>
      <c r="L20" s="358">
        <v>5000</v>
      </c>
      <c r="M20" s="357">
        <v>0</v>
      </c>
      <c r="N20" s="357">
        <v>0</v>
      </c>
      <c r="O20" s="357">
        <v>0</v>
      </c>
      <c r="P20" s="357">
        <v>0</v>
      </c>
      <c r="Q20" s="348" t="s">
        <v>532</v>
      </c>
    </row>
    <row r="21" spans="1:17" s="349" customFormat="1" ht="15" x14ac:dyDescent="0.25">
      <c r="A21" s="343">
        <v>7</v>
      </c>
      <c r="B21" s="386">
        <v>81</v>
      </c>
      <c r="C21" s="355" t="s">
        <v>544</v>
      </c>
      <c r="D21" s="356">
        <v>4414</v>
      </c>
      <c r="E21" s="345" t="s">
        <v>534</v>
      </c>
      <c r="F21" s="406" t="s">
        <v>531</v>
      </c>
      <c r="G21" s="407"/>
      <c r="H21" s="357">
        <v>21000</v>
      </c>
      <c r="I21" s="357">
        <v>0</v>
      </c>
      <c r="J21" s="357">
        <v>0</v>
      </c>
      <c r="K21" s="357">
        <v>20000</v>
      </c>
      <c r="L21" s="358">
        <v>1000</v>
      </c>
      <c r="M21" s="357">
        <v>0</v>
      </c>
      <c r="N21" s="357">
        <v>0</v>
      </c>
      <c r="O21" s="357">
        <v>0</v>
      </c>
      <c r="P21" s="357">
        <v>0</v>
      </c>
      <c r="Q21" s="363" t="s">
        <v>539</v>
      </c>
    </row>
    <row r="22" spans="1:17" s="349" customFormat="1" ht="34.5" customHeight="1" x14ac:dyDescent="0.25">
      <c r="A22" s="343">
        <v>7</v>
      </c>
      <c r="B22" s="386">
        <v>83</v>
      </c>
      <c r="C22" s="355" t="s">
        <v>724</v>
      </c>
      <c r="D22" s="356">
        <v>4343</v>
      </c>
      <c r="E22" s="345" t="s">
        <v>530</v>
      </c>
      <c r="F22" s="406" t="s">
        <v>539</v>
      </c>
      <c r="G22" s="407" t="s">
        <v>545</v>
      </c>
      <c r="H22" s="357">
        <f>I22+J22+K22+L22+M22+N22+O22+P22</f>
        <v>119600</v>
      </c>
      <c r="I22" s="357">
        <v>0</v>
      </c>
      <c r="J22" s="357">
        <v>0</v>
      </c>
      <c r="K22" s="357">
        <v>2000</v>
      </c>
      <c r="L22" s="358">
        <v>23900</v>
      </c>
      <c r="M22" s="357">
        <v>58700</v>
      </c>
      <c r="N22" s="357">
        <v>35000</v>
      </c>
      <c r="O22" s="357">
        <v>0</v>
      </c>
      <c r="P22" s="357">
        <v>0</v>
      </c>
      <c r="Q22" s="363" t="s">
        <v>539</v>
      </c>
    </row>
    <row r="23" spans="1:17" s="349" customFormat="1" ht="34.5" customHeight="1" x14ac:dyDescent="0.25">
      <c r="A23" s="343">
        <v>7</v>
      </c>
      <c r="B23" s="386">
        <v>85</v>
      </c>
      <c r="C23" s="355" t="s">
        <v>725</v>
      </c>
      <c r="D23" s="356">
        <v>4342</v>
      </c>
      <c r="E23" s="345" t="s">
        <v>530</v>
      </c>
      <c r="F23" s="406" t="s">
        <v>539</v>
      </c>
      <c r="G23" s="407" t="s">
        <v>546</v>
      </c>
      <c r="H23" s="357">
        <f>I23+J23+K23+L23+M23+N23+O23+P23</f>
        <v>13900</v>
      </c>
      <c r="I23" s="357">
        <v>0</v>
      </c>
      <c r="J23" s="357">
        <v>0</v>
      </c>
      <c r="K23" s="357">
        <v>900</v>
      </c>
      <c r="L23" s="358">
        <v>6000</v>
      </c>
      <c r="M23" s="357">
        <v>7000</v>
      </c>
      <c r="N23" s="357">
        <v>0</v>
      </c>
      <c r="O23" s="357">
        <v>0</v>
      </c>
      <c r="P23" s="357">
        <v>0</v>
      </c>
      <c r="Q23" s="363" t="s">
        <v>539</v>
      </c>
    </row>
    <row r="24" spans="1:17" s="349" customFormat="1" ht="31.9" customHeight="1" x14ac:dyDescent="0.25">
      <c r="A24" s="343">
        <v>7</v>
      </c>
      <c r="B24" s="386">
        <v>87</v>
      </c>
      <c r="C24" s="355" t="s">
        <v>547</v>
      </c>
      <c r="D24" s="356">
        <v>4633</v>
      </c>
      <c r="E24" s="345" t="s">
        <v>530</v>
      </c>
      <c r="F24" s="406" t="s">
        <v>531</v>
      </c>
      <c r="G24" s="407"/>
      <c r="H24" s="357">
        <f>I24+J24+K24+L24+M24+N24+O24+P24</f>
        <v>30454.07</v>
      </c>
      <c r="I24" s="357">
        <v>454.07</v>
      </c>
      <c r="J24" s="357">
        <v>0</v>
      </c>
      <c r="K24" s="357">
        <v>15000</v>
      </c>
      <c r="L24" s="358">
        <v>15000</v>
      </c>
      <c r="M24" s="357">
        <v>0</v>
      </c>
      <c r="N24" s="357">
        <v>0</v>
      </c>
      <c r="O24" s="357">
        <v>0</v>
      </c>
      <c r="P24" s="357">
        <v>0</v>
      </c>
      <c r="Q24" s="363" t="s">
        <v>539</v>
      </c>
    </row>
    <row r="25" spans="1:17" s="349" customFormat="1" ht="34.5" customHeight="1" x14ac:dyDescent="0.25">
      <c r="A25" s="343">
        <v>7</v>
      </c>
      <c r="B25" s="386">
        <v>89</v>
      </c>
      <c r="C25" s="355" t="s">
        <v>548</v>
      </c>
      <c r="D25" s="356">
        <v>4246</v>
      </c>
      <c r="E25" s="345" t="s">
        <v>530</v>
      </c>
      <c r="F25" s="406" t="s">
        <v>531</v>
      </c>
      <c r="G25" s="407"/>
      <c r="H25" s="357">
        <f t="shared" ref="H25:H27" si="4">I25+J25+K25+L25+M25+N25+O25+P25</f>
        <v>31988.01</v>
      </c>
      <c r="I25" s="357">
        <v>888</v>
      </c>
      <c r="J25" s="357">
        <v>3777.71</v>
      </c>
      <c r="K25" s="357">
        <v>12322.3</v>
      </c>
      <c r="L25" s="358">
        <v>15000</v>
      </c>
      <c r="M25" s="357">
        <v>0</v>
      </c>
      <c r="N25" s="357">
        <v>0</v>
      </c>
      <c r="O25" s="357">
        <v>0</v>
      </c>
      <c r="P25" s="357">
        <v>0</v>
      </c>
      <c r="Q25" s="363" t="s">
        <v>539</v>
      </c>
    </row>
    <row r="26" spans="1:17" s="349" customFormat="1" ht="34.5" customHeight="1" x14ac:dyDescent="0.25">
      <c r="A26" s="343">
        <v>7</v>
      </c>
      <c r="B26" s="386">
        <v>91</v>
      </c>
      <c r="C26" s="355" t="s">
        <v>738</v>
      </c>
      <c r="D26" s="356">
        <v>4773</v>
      </c>
      <c r="E26" s="345" t="s">
        <v>530</v>
      </c>
      <c r="F26" s="406" t="s">
        <v>531</v>
      </c>
      <c r="G26" s="407"/>
      <c r="H26" s="357">
        <f t="shared" si="4"/>
        <v>5800</v>
      </c>
      <c r="I26" s="357">
        <v>0</v>
      </c>
      <c r="J26" s="357">
        <v>0</v>
      </c>
      <c r="K26" s="357">
        <v>500</v>
      </c>
      <c r="L26" s="358">
        <v>5300</v>
      </c>
      <c r="M26" s="357">
        <v>0</v>
      </c>
      <c r="N26" s="357">
        <v>0</v>
      </c>
      <c r="O26" s="357">
        <v>0</v>
      </c>
      <c r="P26" s="357">
        <v>0</v>
      </c>
      <c r="Q26" s="363" t="s">
        <v>539</v>
      </c>
    </row>
    <row r="27" spans="1:17" s="349" customFormat="1" ht="34.5" customHeight="1" x14ac:dyDescent="0.25">
      <c r="A27" s="343">
        <v>7</v>
      </c>
      <c r="B27" s="386">
        <v>93</v>
      </c>
      <c r="C27" s="355" t="s">
        <v>739</v>
      </c>
      <c r="D27" s="356">
        <v>4774</v>
      </c>
      <c r="E27" s="345" t="s">
        <v>530</v>
      </c>
      <c r="F27" s="406" t="s">
        <v>531</v>
      </c>
      <c r="G27" s="407"/>
      <c r="H27" s="357">
        <f t="shared" si="4"/>
        <v>5100</v>
      </c>
      <c r="I27" s="357">
        <v>0</v>
      </c>
      <c r="J27" s="357">
        <v>0</v>
      </c>
      <c r="K27" s="357">
        <v>500</v>
      </c>
      <c r="L27" s="358">
        <v>4600</v>
      </c>
      <c r="M27" s="357">
        <v>0</v>
      </c>
      <c r="N27" s="357">
        <v>0</v>
      </c>
      <c r="O27" s="357">
        <v>0</v>
      </c>
      <c r="P27" s="357">
        <v>0</v>
      </c>
      <c r="Q27" s="363" t="s">
        <v>539</v>
      </c>
    </row>
    <row r="28" spans="1:17" s="349" customFormat="1" ht="34.5" customHeight="1" x14ac:dyDescent="0.25">
      <c r="A28" s="343">
        <v>7</v>
      </c>
      <c r="B28" s="386">
        <v>95</v>
      </c>
      <c r="C28" s="355" t="s">
        <v>549</v>
      </c>
      <c r="D28" s="356">
        <v>5954</v>
      </c>
      <c r="E28" s="345" t="s">
        <v>522</v>
      </c>
      <c r="F28" s="406" t="s">
        <v>531</v>
      </c>
      <c r="G28" s="407"/>
      <c r="H28" s="357">
        <f>I28+J28+K28+L28</f>
        <v>73093.750070000009</v>
      </c>
      <c r="I28" s="357">
        <v>0</v>
      </c>
      <c r="J28" s="357">
        <v>33118.150070000003</v>
      </c>
      <c r="K28" s="357">
        <v>33779.599999999999</v>
      </c>
      <c r="L28" s="358">
        <v>6196</v>
      </c>
      <c r="M28" s="357">
        <v>0</v>
      </c>
      <c r="N28" s="357">
        <v>0</v>
      </c>
      <c r="O28" s="357">
        <v>0</v>
      </c>
      <c r="P28" s="357">
        <v>0</v>
      </c>
      <c r="Q28" s="348" t="s">
        <v>550</v>
      </c>
    </row>
    <row r="29" spans="1:17" s="349" customFormat="1" ht="34.5" customHeight="1" x14ac:dyDescent="0.25">
      <c r="A29" s="343">
        <v>7</v>
      </c>
      <c r="B29" s="386">
        <v>97</v>
      </c>
      <c r="C29" s="355" t="s">
        <v>551</v>
      </c>
      <c r="D29" s="356">
        <v>5752</v>
      </c>
      <c r="E29" s="345" t="s">
        <v>534</v>
      </c>
      <c r="F29" s="406" t="s">
        <v>531</v>
      </c>
      <c r="G29" s="407"/>
      <c r="H29" s="357">
        <f>L29</f>
        <v>8954</v>
      </c>
      <c r="I29" s="357">
        <v>0</v>
      </c>
      <c r="J29" s="357">
        <v>0</v>
      </c>
      <c r="K29" s="357">
        <v>554</v>
      </c>
      <c r="L29" s="358">
        <v>8954</v>
      </c>
      <c r="M29" s="357">
        <v>0</v>
      </c>
      <c r="N29" s="357">
        <v>0</v>
      </c>
      <c r="O29" s="357">
        <v>0</v>
      </c>
      <c r="P29" s="357">
        <v>0</v>
      </c>
      <c r="Q29" s="348" t="s">
        <v>532</v>
      </c>
    </row>
    <row r="30" spans="1:17" s="349" customFormat="1" ht="15.75" customHeight="1" x14ac:dyDescent="0.25">
      <c r="A30" s="343"/>
      <c r="B30" s="359" t="s">
        <v>182</v>
      </c>
      <c r="C30" s="360"/>
      <c r="D30" s="350"/>
      <c r="E30" s="350"/>
      <c r="F30" s="351"/>
      <c r="G30" s="352"/>
      <c r="H30" s="353">
        <f>SUM(H14:H29)</f>
        <v>1099547.8300699999</v>
      </c>
      <c r="I30" s="353">
        <f>SUM(I14:I29)</f>
        <v>1342.07</v>
      </c>
      <c r="J30" s="353">
        <f>SUM(J14:J29)</f>
        <v>37124.550070000005</v>
      </c>
      <c r="K30" s="353">
        <f>SUM(K14:K29)</f>
        <v>960932.97000000009</v>
      </c>
      <c r="L30" s="353">
        <f>SUM(L14:L29)</f>
        <v>795608</v>
      </c>
      <c r="M30" s="353">
        <f>SUM(M14:M27)+M29</f>
        <v>90700</v>
      </c>
      <c r="N30" s="353">
        <f>SUM(N14:N27)+N29</f>
        <v>71000</v>
      </c>
      <c r="O30" s="353">
        <f>SUM(O14:O27)+O29</f>
        <v>0</v>
      </c>
      <c r="P30" s="353">
        <f>SUM(P14:P27)+P29</f>
        <v>0</v>
      </c>
      <c r="Q30" s="354"/>
    </row>
    <row r="31" spans="1:17" s="342" customFormat="1" ht="18" customHeight="1" x14ac:dyDescent="0.25">
      <c r="A31" s="336"/>
      <c r="B31" s="337" t="s">
        <v>430</v>
      </c>
      <c r="C31" s="338"/>
      <c r="D31" s="336"/>
      <c r="E31" s="336"/>
      <c r="F31" s="339"/>
      <c r="G31" s="340"/>
      <c r="H31" s="338"/>
      <c r="I31" s="338"/>
      <c r="J31" s="338"/>
      <c r="K31" s="338"/>
      <c r="L31" s="338"/>
      <c r="M31" s="338"/>
      <c r="N31" s="338"/>
      <c r="O31" s="338"/>
      <c r="P31" s="338"/>
      <c r="Q31" s="341"/>
    </row>
    <row r="32" spans="1:17" s="349" customFormat="1" ht="34.5" customHeight="1" x14ac:dyDescent="0.25">
      <c r="A32" s="343">
        <v>5</v>
      </c>
      <c r="B32" s="386">
        <v>129</v>
      </c>
      <c r="C32" s="355" t="s">
        <v>552</v>
      </c>
      <c r="D32" s="345">
        <v>5337</v>
      </c>
      <c r="E32" s="345" t="s">
        <v>525</v>
      </c>
      <c r="F32" s="406" t="s">
        <v>531</v>
      </c>
      <c r="G32" s="407"/>
      <c r="H32" s="357">
        <f>L32</f>
        <v>17900</v>
      </c>
      <c r="I32" s="130">
        <v>0</v>
      </c>
      <c r="J32" s="130">
        <v>0</v>
      </c>
      <c r="K32" s="130">
        <v>19455.88</v>
      </c>
      <c r="L32" s="43">
        <v>17900</v>
      </c>
      <c r="M32" s="130">
        <v>0</v>
      </c>
      <c r="N32" s="130">
        <v>0</v>
      </c>
      <c r="O32" s="130">
        <v>0</v>
      </c>
      <c r="P32" s="130">
        <v>0</v>
      </c>
      <c r="Q32" s="348" t="s">
        <v>532</v>
      </c>
    </row>
    <row r="33" spans="1:17" s="349" customFormat="1" ht="34.5" customHeight="1" x14ac:dyDescent="0.25">
      <c r="A33" s="343">
        <v>5</v>
      </c>
      <c r="B33" s="386">
        <v>131</v>
      </c>
      <c r="C33" s="355" t="s">
        <v>553</v>
      </c>
      <c r="D33" s="356">
        <v>5829</v>
      </c>
      <c r="E33" s="345" t="s">
        <v>525</v>
      </c>
      <c r="F33" s="406" t="s">
        <v>539</v>
      </c>
      <c r="G33" s="407"/>
      <c r="H33" s="357">
        <f>L33</f>
        <v>250</v>
      </c>
      <c r="I33" s="357">
        <v>0</v>
      </c>
      <c r="J33" s="357">
        <v>0</v>
      </c>
      <c r="K33" s="357">
        <v>650</v>
      </c>
      <c r="L33" s="358">
        <v>250</v>
      </c>
      <c r="M33" s="130">
        <v>0</v>
      </c>
      <c r="N33" s="130">
        <v>0</v>
      </c>
      <c r="O33" s="130">
        <v>0</v>
      </c>
      <c r="P33" s="130">
        <v>0</v>
      </c>
      <c r="Q33" s="348" t="s">
        <v>532</v>
      </c>
    </row>
    <row r="34" spans="1:17" s="349" customFormat="1" ht="24" customHeight="1" x14ac:dyDescent="0.25">
      <c r="A34" s="343">
        <v>5</v>
      </c>
      <c r="B34" s="386">
        <v>133</v>
      </c>
      <c r="C34" s="355" t="s">
        <v>554</v>
      </c>
      <c r="D34" s="356">
        <v>5878</v>
      </c>
      <c r="E34" s="345" t="s">
        <v>536</v>
      </c>
      <c r="F34" s="406" t="s">
        <v>539</v>
      </c>
      <c r="G34" s="407"/>
      <c r="H34" s="357">
        <f>I34+J34+K34+L34+M34+N34+O34+P34</f>
        <v>126047</v>
      </c>
      <c r="I34" s="357">
        <v>0</v>
      </c>
      <c r="J34" s="357">
        <v>30266</v>
      </c>
      <c r="K34" s="357">
        <v>25508</v>
      </c>
      <c r="L34" s="358">
        <v>21895</v>
      </c>
      <c r="M34" s="357">
        <v>16126</v>
      </c>
      <c r="N34" s="357">
        <v>16126</v>
      </c>
      <c r="O34" s="357">
        <v>16126</v>
      </c>
      <c r="P34" s="357">
        <v>0</v>
      </c>
      <c r="Q34" s="363" t="s">
        <v>539</v>
      </c>
    </row>
    <row r="35" spans="1:17" s="349" customFormat="1" ht="15" customHeight="1" x14ac:dyDescent="0.25">
      <c r="A35" s="343">
        <v>5</v>
      </c>
      <c r="B35" s="386">
        <v>136</v>
      </c>
      <c r="C35" s="355" t="s">
        <v>555</v>
      </c>
      <c r="D35" s="356">
        <v>4621</v>
      </c>
      <c r="E35" s="345" t="s">
        <v>525</v>
      </c>
      <c r="F35" s="346">
        <v>309994</v>
      </c>
      <c r="G35" s="347" t="s">
        <v>556</v>
      </c>
      <c r="H35" s="357">
        <f t="shared" ref="H35" si="5">I35+J35+K35+L35+M35+N35+O35+P35</f>
        <v>309994</v>
      </c>
      <c r="I35" s="357">
        <v>0</v>
      </c>
      <c r="J35" s="357">
        <v>0</v>
      </c>
      <c r="K35" s="357">
        <v>721</v>
      </c>
      <c r="L35" s="358">
        <v>189273</v>
      </c>
      <c r="M35" s="357">
        <v>120000</v>
      </c>
      <c r="N35" s="357">
        <v>0</v>
      </c>
      <c r="O35" s="357">
        <v>0</v>
      </c>
      <c r="P35" s="357">
        <v>0</v>
      </c>
      <c r="Q35" s="363" t="s">
        <v>539</v>
      </c>
    </row>
    <row r="36" spans="1:17" s="349" customFormat="1" ht="26.25" customHeight="1" x14ac:dyDescent="0.25">
      <c r="A36" s="343"/>
      <c r="B36" s="411" t="s">
        <v>432</v>
      </c>
      <c r="C36" s="412"/>
      <c r="D36" s="350"/>
      <c r="E36" s="350"/>
      <c r="F36" s="361"/>
      <c r="G36" s="352"/>
      <c r="H36" s="353">
        <f>SUM(H32:H35)</f>
        <v>454191</v>
      </c>
      <c r="I36" s="353">
        <f>SUM(I32:I35)</f>
        <v>0</v>
      </c>
      <c r="J36" s="353">
        <f t="shared" ref="J36:O36" si="6">SUM(J32:J35)</f>
        <v>30266</v>
      </c>
      <c r="K36" s="353">
        <f t="shared" si="6"/>
        <v>46334.880000000005</v>
      </c>
      <c r="L36" s="353">
        <f t="shared" si="6"/>
        <v>229318</v>
      </c>
      <c r="M36" s="353">
        <f t="shared" si="6"/>
        <v>136126</v>
      </c>
      <c r="N36" s="353">
        <f t="shared" si="6"/>
        <v>16126</v>
      </c>
      <c r="O36" s="353">
        <f t="shared" si="6"/>
        <v>16126</v>
      </c>
      <c r="P36" s="353">
        <f>SUM(P25:P33)</f>
        <v>0</v>
      </c>
      <c r="Q36" s="354"/>
    </row>
    <row r="37" spans="1:17" s="342" customFormat="1" ht="18" customHeight="1" x14ac:dyDescent="0.25">
      <c r="A37" s="336"/>
      <c r="B37" s="337" t="s">
        <v>557</v>
      </c>
      <c r="C37" s="338"/>
      <c r="D37" s="336"/>
      <c r="E37" s="336"/>
      <c r="F37" s="339"/>
      <c r="G37" s="340"/>
      <c r="H37" s="338"/>
      <c r="I37" s="338"/>
      <c r="J37" s="338"/>
      <c r="K37" s="338"/>
      <c r="L37" s="338"/>
      <c r="M37" s="338"/>
      <c r="N37" s="338"/>
      <c r="O37" s="338"/>
      <c r="P37" s="338"/>
      <c r="Q37" s="341"/>
    </row>
    <row r="38" spans="1:17" s="349" customFormat="1" ht="15" x14ac:dyDescent="0.25">
      <c r="A38" s="343">
        <v>7</v>
      </c>
      <c r="B38" s="385">
        <v>172</v>
      </c>
      <c r="C38" s="344" t="s">
        <v>558</v>
      </c>
      <c r="D38" s="345">
        <v>4546</v>
      </c>
      <c r="E38" s="345" t="s">
        <v>522</v>
      </c>
      <c r="F38" s="406" t="s">
        <v>531</v>
      </c>
      <c r="G38" s="407"/>
      <c r="H38" s="130">
        <f>I38+J38+K38+L38+M38+N38+O38+P38</f>
        <v>1000</v>
      </c>
      <c r="I38" s="130">
        <v>0</v>
      </c>
      <c r="J38" s="130">
        <v>0</v>
      </c>
      <c r="K38" s="130">
        <v>0</v>
      </c>
      <c r="L38" s="43">
        <v>1000</v>
      </c>
      <c r="M38" s="130">
        <v>0</v>
      </c>
      <c r="N38" s="130">
        <v>0</v>
      </c>
      <c r="O38" s="130">
        <v>0</v>
      </c>
      <c r="P38" s="130">
        <v>0</v>
      </c>
      <c r="Q38" s="364" t="s">
        <v>539</v>
      </c>
    </row>
    <row r="39" spans="1:17" s="349" customFormat="1" ht="15.75" customHeight="1" x14ac:dyDescent="0.25">
      <c r="A39" s="343"/>
      <c r="B39" s="359" t="s">
        <v>38</v>
      </c>
      <c r="C39" s="360"/>
      <c r="D39" s="350"/>
      <c r="E39" s="350"/>
      <c r="F39" s="361"/>
      <c r="G39" s="352"/>
      <c r="H39" s="353">
        <f t="shared" ref="H39:O39" si="7">SUM(H38)</f>
        <v>1000</v>
      </c>
      <c r="I39" s="353">
        <f t="shared" si="7"/>
        <v>0</v>
      </c>
      <c r="J39" s="353">
        <f t="shared" si="7"/>
        <v>0</v>
      </c>
      <c r="K39" s="353">
        <f t="shared" si="7"/>
        <v>0</v>
      </c>
      <c r="L39" s="353">
        <f t="shared" si="7"/>
        <v>1000</v>
      </c>
      <c r="M39" s="353">
        <f t="shared" si="7"/>
        <v>0</v>
      </c>
      <c r="N39" s="353">
        <f t="shared" si="7"/>
        <v>0</v>
      </c>
      <c r="O39" s="353">
        <f t="shared" si="7"/>
        <v>0</v>
      </c>
      <c r="P39" s="353">
        <f>SUM(P38)</f>
        <v>0</v>
      </c>
      <c r="Q39" s="354"/>
    </row>
    <row r="40" spans="1:17" s="342" customFormat="1" ht="18" customHeight="1" x14ac:dyDescent="0.25">
      <c r="A40" s="336"/>
      <c r="B40" s="337" t="s">
        <v>39</v>
      </c>
      <c r="C40" s="338"/>
      <c r="D40" s="336"/>
      <c r="E40" s="336"/>
      <c r="F40" s="339"/>
      <c r="G40" s="340"/>
      <c r="H40" s="338"/>
      <c r="I40" s="338"/>
      <c r="J40" s="338"/>
      <c r="K40" s="338"/>
      <c r="L40" s="338"/>
      <c r="M40" s="338"/>
      <c r="N40" s="338"/>
      <c r="O40" s="338"/>
      <c r="P40" s="338"/>
      <c r="Q40" s="341"/>
    </row>
    <row r="41" spans="1:17" s="349" customFormat="1" ht="24" customHeight="1" x14ac:dyDescent="0.25">
      <c r="A41" s="387">
        <v>7</v>
      </c>
      <c r="B41" s="385">
        <v>205</v>
      </c>
      <c r="C41" s="344" t="s">
        <v>740</v>
      </c>
      <c r="D41" s="345">
        <v>4350</v>
      </c>
      <c r="E41" s="345" t="s">
        <v>530</v>
      </c>
      <c r="F41" s="406" t="s">
        <v>531</v>
      </c>
      <c r="G41" s="407"/>
      <c r="H41" s="130">
        <f t="shared" ref="H41:H49" si="8">I41+J41+K41+L41+M41+N41+O41+P41</f>
        <v>14576</v>
      </c>
      <c r="I41" s="130">
        <v>1076</v>
      </c>
      <c r="J41" s="130">
        <v>0</v>
      </c>
      <c r="K41" s="130">
        <v>500</v>
      </c>
      <c r="L41" s="43">
        <v>13000</v>
      </c>
      <c r="M41" s="130">
        <v>0</v>
      </c>
      <c r="N41" s="130">
        <v>0</v>
      </c>
      <c r="O41" s="130">
        <v>0</v>
      </c>
      <c r="P41" s="130">
        <v>0</v>
      </c>
      <c r="Q41" s="364" t="s">
        <v>539</v>
      </c>
    </row>
    <row r="42" spans="1:17" s="349" customFormat="1" ht="24" customHeight="1" x14ac:dyDescent="0.25">
      <c r="A42" s="387">
        <v>7</v>
      </c>
      <c r="B42" s="385">
        <v>207</v>
      </c>
      <c r="C42" s="344" t="s">
        <v>559</v>
      </c>
      <c r="D42" s="345">
        <v>4470</v>
      </c>
      <c r="E42" s="345" t="s">
        <v>530</v>
      </c>
      <c r="F42" s="406" t="s">
        <v>531</v>
      </c>
      <c r="G42" s="407"/>
      <c r="H42" s="130">
        <f t="shared" si="8"/>
        <v>4500</v>
      </c>
      <c r="I42" s="130">
        <v>1500</v>
      </c>
      <c r="J42" s="130">
        <v>0</v>
      </c>
      <c r="K42" s="130">
        <v>0</v>
      </c>
      <c r="L42" s="43">
        <v>3000</v>
      </c>
      <c r="M42" s="130">
        <v>0</v>
      </c>
      <c r="N42" s="130">
        <v>0</v>
      </c>
      <c r="O42" s="130">
        <v>0</v>
      </c>
      <c r="P42" s="130">
        <v>0</v>
      </c>
      <c r="Q42" s="364" t="s">
        <v>539</v>
      </c>
    </row>
    <row r="43" spans="1:17" s="349" customFormat="1" ht="34.5" customHeight="1" x14ac:dyDescent="0.25">
      <c r="A43" s="387">
        <v>7</v>
      </c>
      <c r="B43" s="385">
        <v>209</v>
      </c>
      <c r="C43" s="344" t="s">
        <v>560</v>
      </c>
      <c r="D43" s="345">
        <v>4472</v>
      </c>
      <c r="E43" s="345" t="s">
        <v>522</v>
      </c>
      <c r="F43" s="346">
        <v>31150</v>
      </c>
      <c r="G43" s="347" t="s">
        <v>523</v>
      </c>
      <c r="H43" s="130">
        <f t="shared" si="8"/>
        <v>31150</v>
      </c>
      <c r="I43" s="130">
        <v>0</v>
      </c>
      <c r="J43" s="130">
        <v>0</v>
      </c>
      <c r="K43" s="130">
        <v>0</v>
      </c>
      <c r="L43" s="43">
        <v>150</v>
      </c>
      <c r="M43" s="130">
        <v>20000</v>
      </c>
      <c r="N43" s="130">
        <v>11000</v>
      </c>
      <c r="O43" s="130">
        <v>0</v>
      </c>
      <c r="P43" s="130">
        <v>0</v>
      </c>
      <c r="Q43" s="348" t="s">
        <v>561</v>
      </c>
    </row>
    <row r="44" spans="1:17" s="349" customFormat="1" ht="24" customHeight="1" x14ac:dyDescent="0.25">
      <c r="A44" s="387">
        <v>7</v>
      </c>
      <c r="B44" s="385">
        <v>211</v>
      </c>
      <c r="C44" s="344" t="s">
        <v>562</v>
      </c>
      <c r="D44" s="345">
        <v>4420</v>
      </c>
      <c r="E44" s="345" t="s">
        <v>530</v>
      </c>
      <c r="F44" s="406" t="s">
        <v>539</v>
      </c>
      <c r="G44" s="407" t="s">
        <v>563</v>
      </c>
      <c r="H44" s="130">
        <f t="shared" si="8"/>
        <v>8800</v>
      </c>
      <c r="I44" s="130">
        <v>300</v>
      </c>
      <c r="J44" s="130">
        <v>0</v>
      </c>
      <c r="K44" s="130">
        <v>4500</v>
      </c>
      <c r="L44" s="43">
        <v>2000</v>
      </c>
      <c r="M44" s="130">
        <v>2000</v>
      </c>
      <c r="N44" s="130">
        <v>0</v>
      </c>
      <c r="O44" s="130">
        <v>0</v>
      </c>
      <c r="P44" s="130">
        <v>0</v>
      </c>
      <c r="Q44" s="364" t="s">
        <v>539</v>
      </c>
    </row>
    <row r="45" spans="1:17" s="349" customFormat="1" ht="24" customHeight="1" x14ac:dyDescent="0.25">
      <c r="A45" s="387">
        <v>7</v>
      </c>
      <c r="B45" s="385">
        <v>213</v>
      </c>
      <c r="C45" s="344" t="s">
        <v>564</v>
      </c>
      <c r="D45" s="345">
        <v>4471</v>
      </c>
      <c r="E45" s="345" t="s">
        <v>530</v>
      </c>
      <c r="F45" s="406" t="s">
        <v>531</v>
      </c>
      <c r="G45" s="407"/>
      <c r="H45" s="130">
        <f t="shared" si="8"/>
        <v>6000</v>
      </c>
      <c r="I45" s="130">
        <v>0</v>
      </c>
      <c r="J45" s="130">
        <v>0</v>
      </c>
      <c r="K45" s="130">
        <v>0</v>
      </c>
      <c r="L45" s="43">
        <v>6000</v>
      </c>
      <c r="M45" s="130">
        <v>0</v>
      </c>
      <c r="N45" s="130">
        <v>0</v>
      </c>
      <c r="O45" s="130">
        <v>0</v>
      </c>
      <c r="P45" s="130">
        <v>0</v>
      </c>
      <c r="Q45" s="364" t="s">
        <v>539</v>
      </c>
    </row>
    <row r="46" spans="1:17" s="349" customFormat="1" ht="24" customHeight="1" x14ac:dyDescent="0.25">
      <c r="A46" s="387">
        <v>7</v>
      </c>
      <c r="B46" s="385">
        <v>215</v>
      </c>
      <c r="C46" s="344" t="s">
        <v>565</v>
      </c>
      <c r="D46" s="365">
        <v>4419</v>
      </c>
      <c r="E46" s="345" t="s">
        <v>522</v>
      </c>
      <c r="F46" s="346">
        <v>35000</v>
      </c>
      <c r="G46" s="347" t="s">
        <v>546</v>
      </c>
      <c r="H46" s="130">
        <f t="shared" si="8"/>
        <v>35000</v>
      </c>
      <c r="I46" s="130">
        <v>0</v>
      </c>
      <c r="J46" s="130">
        <v>0</v>
      </c>
      <c r="K46" s="130">
        <v>0</v>
      </c>
      <c r="L46" s="43">
        <v>5000</v>
      </c>
      <c r="M46" s="130">
        <v>30000</v>
      </c>
      <c r="N46" s="130">
        <v>0</v>
      </c>
      <c r="O46" s="130">
        <v>0</v>
      </c>
      <c r="P46" s="130">
        <v>0</v>
      </c>
      <c r="Q46" s="364" t="s">
        <v>539</v>
      </c>
    </row>
    <row r="47" spans="1:17" s="349" customFormat="1" ht="24" customHeight="1" x14ac:dyDescent="0.25">
      <c r="A47" s="387">
        <v>7</v>
      </c>
      <c r="B47" s="385">
        <v>217</v>
      </c>
      <c r="C47" s="344" t="s">
        <v>566</v>
      </c>
      <c r="D47" s="365">
        <v>4416</v>
      </c>
      <c r="E47" s="345" t="s">
        <v>522</v>
      </c>
      <c r="F47" s="346">
        <v>30000</v>
      </c>
      <c r="G47" s="347" t="s">
        <v>556</v>
      </c>
      <c r="H47" s="130">
        <f t="shared" si="8"/>
        <v>29727</v>
      </c>
      <c r="I47" s="130">
        <v>227</v>
      </c>
      <c r="J47" s="130">
        <v>0</v>
      </c>
      <c r="K47" s="130">
        <v>115</v>
      </c>
      <c r="L47" s="43">
        <v>1885</v>
      </c>
      <c r="M47" s="130">
        <v>4000</v>
      </c>
      <c r="N47" s="130">
        <v>23500</v>
      </c>
      <c r="O47" s="130">
        <v>0</v>
      </c>
      <c r="P47" s="130">
        <v>0</v>
      </c>
      <c r="Q47" s="364" t="s">
        <v>539</v>
      </c>
    </row>
    <row r="48" spans="1:17" s="349" customFormat="1" ht="24" customHeight="1" x14ac:dyDescent="0.25">
      <c r="A48" s="387">
        <v>7</v>
      </c>
      <c r="B48" s="385">
        <v>219</v>
      </c>
      <c r="C48" s="344" t="s">
        <v>741</v>
      </c>
      <c r="D48" s="345">
        <v>4468</v>
      </c>
      <c r="E48" s="345" t="s">
        <v>530</v>
      </c>
      <c r="F48" s="406" t="s">
        <v>531</v>
      </c>
      <c r="G48" s="407"/>
      <c r="H48" s="130">
        <f t="shared" si="8"/>
        <v>30200</v>
      </c>
      <c r="I48" s="130">
        <v>200</v>
      </c>
      <c r="J48" s="130">
        <v>0</v>
      </c>
      <c r="K48" s="130">
        <v>7000</v>
      </c>
      <c r="L48" s="43">
        <v>23000</v>
      </c>
      <c r="M48" s="130">
        <v>0</v>
      </c>
      <c r="N48" s="130">
        <v>0</v>
      </c>
      <c r="O48" s="130">
        <v>0</v>
      </c>
      <c r="P48" s="130">
        <v>0</v>
      </c>
      <c r="Q48" s="364" t="s">
        <v>539</v>
      </c>
    </row>
    <row r="49" spans="1:17" s="349" customFormat="1" ht="24" customHeight="1" x14ac:dyDescent="0.25">
      <c r="A49" s="387">
        <v>7</v>
      </c>
      <c r="B49" s="385">
        <v>221</v>
      </c>
      <c r="C49" s="344" t="s">
        <v>567</v>
      </c>
      <c r="D49" s="365">
        <v>4347</v>
      </c>
      <c r="E49" s="345" t="s">
        <v>522</v>
      </c>
      <c r="F49" s="346">
        <v>177000</v>
      </c>
      <c r="G49" s="347" t="s">
        <v>568</v>
      </c>
      <c r="H49" s="130">
        <f t="shared" si="8"/>
        <v>176070.85</v>
      </c>
      <c r="I49" s="130">
        <v>0</v>
      </c>
      <c r="J49" s="130">
        <v>1070.8499999999999</v>
      </c>
      <c r="K49" s="130">
        <v>115</v>
      </c>
      <c r="L49" s="43">
        <v>5985</v>
      </c>
      <c r="M49" s="130">
        <v>35000</v>
      </c>
      <c r="N49" s="130">
        <v>133900</v>
      </c>
      <c r="O49" s="130">
        <v>0</v>
      </c>
      <c r="P49" s="130">
        <v>0</v>
      </c>
      <c r="Q49" s="364" t="s">
        <v>539</v>
      </c>
    </row>
    <row r="50" spans="1:17" s="349" customFormat="1" ht="35.25" customHeight="1" x14ac:dyDescent="0.25">
      <c r="A50" s="387">
        <v>7</v>
      </c>
      <c r="B50" s="385">
        <v>223</v>
      </c>
      <c r="C50" s="344" t="s">
        <v>569</v>
      </c>
      <c r="D50" s="345">
        <v>4043</v>
      </c>
      <c r="E50" s="345" t="s">
        <v>530</v>
      </c>
      <c r="F50" s="406" t="s">
        <v>531</v>
      </c>
      <c r="G50" s="407"/>
      <c r="H50" s="130">
        <f>I50+J50+K50+L50+M50+N50+O50+P50</f>
        <v>4407.1909699999997</v>
      </c>
      <c r="I50" s="130">
        <v>0</v>
      </c>
      <c r="J50" s="130">
        <v>662.18097</v>
      </c>
      <c r="K50" s="130">
        <v>1145.01</v>
      </c>
      <c r="L50" s="43">
        <v>2600</v>
      </c>
      <c r="M50" s="130">
        <v>0</v>
      </c>
      <c r="N50" s="130">
        <v>0</v>
      </c>
      <c r="O50" s="130">
        <v>0</v>
      </c>
      <c r="P50" s="130">
        <v>0</v>
      </c>
      <c r="Q50" s="348" t="s">
        <v>570</v>
      </c>
    </row>
    <row r="51" spans="1:17" s="349" customFormat="1" ht="34.5" customHeight="1" x14ac:dyDescent="0.25">
      <c r="A51" s="387">
        <v>17</v>
      </c>
      <c r="B51" s="385">
        <v>225</v>
      </c>
      <c r="C51" s="344" t="s">
        <v>571</v>
      </c>
      <c r="D51" s="345">
        <v>5254</v>
      </c>
      <c r="E51" s="345" t="s">
        <v>525</v>
      </c>
      <c r="F51" s="406" t="s">
        <v>531</v>
      </c>
      <c r="G51" s="407"/>
      <c r="H51" s="130">
        <f>L51</f>
        <v>588</v>
      </c>
      <c r="I51" s="130">
        <v>0</v>
      </c>
      <c r="J51" s="130">
        <v>0</v>
      </c>
      <c r="K51" s="130">
        <v>1411.04</v>
      </c>
      <c r="L51" s="43">
        <v>588</v>
      </c>
      <c r="M51" s="130">
        <v>0</v>
      </c>
      <c r="N51" s="130">
        <v>0</v>
      </c>
      <c r="O51" s="130">
        <v>0</v>
      </c>
      <c r="P51" s="130">
        <v>0</v>
      </c>
      <c r="Q51" s="348" t="s">
        <v>532</v>
      </c>
    </row>
    <row r="52" spans="1:17" s="349" customFormat="1" ht="34.5" customHeight="1" x14ac:dyDescent="0.25">
      <c r="A52" s="387">
        <v>17</v>
      </c>
      <c r="B52" s="385">
        <v>227</v>
      </c>
      <c r="C52" s="344" t="s">
        <v>572</v>
      </c>
      <c r="D52" s="345">
        <v>4136</v>
      </c>
      <c r="E52" s="345" t="s">
        <v>536</v>
      </c>
      <c r="F52" s="406" t="s">
        <v>531</v>
      </c>
      <c r="G52" s="407"/>
      <c r="H52" s="130">
        <f>L52</f>
        <v>9500</v>
      </c>
      <c r="I52" s="130">
        <v>0</v>
      </c>
      <c r="J52" s="130">
        <v>0</v>
      </c>
      <c r="K52" s="130">
        <v>27500.94</v>
      </c>
      <c r="L52" s="43">
        <v>9500</v>
      </c>
      <c r="M52" s="130">
        <v>0</v>
      </c>
      <c r="N52" s="130">
        <v>0</v>
      </c>
      <c r="O52" s="130">
        <v>0</v>
      </c>
      <c r="P52" s="130">
        <v>0</v>
      </c>
      <c r="Q52" s="348" t="s">
        <v>532</v>
      </c>
    </row>
    <row r="53" spans="1:17" s="349" customFormat="1" ht="34.5" customHeight="1" x14ac:dyDescent="0.25">
      <c r="A53" s="387">
        <v>17</v>
      </c>
      <c r="B53" s="385">
        <v>229</v>
      </c>
      <c r="C53" s="344" t="s">
        <v>573</v>
      </c>
      <c r="D53" s="345">
        <v>5250</v>
      </c>
      <c r="E53" s="345" t="s">
        <v>536</v>
      </c>
      <c r="F53" s="406" t="s">
        <v>531</v>
      </c>
      <c r="G53" s="407"/>
      <c r="H53" s="130">
        <f>L53</f>
        <v>140</v>
      </c>
      <c r="I53" s="130">
        <v>0</v>
      </c>
      <c r="J53" s="130">
        <v>0</v>
      </c>
      <c r="K53" s="130">
        <v>5086.09</v>
      </c>
      <c r="L53" s="43">
        <v>140</v>
      </c>
      <c r="M53" s="130">
        <v>0</v>
      </c>
      <c r="N53" s="130">
        <v>0</v>
      </c>
      <c r="O53" s="130">
        <v>0</v>
      </c>
      <c r="P53" s="130">
        <v>0</v>
      </c>
      <c r="Q53" s="348" t="s">
        <v>532</v>
      </c>
    </row>
    <row r="54" spans="1:17" s="349" customFormat="1" ht="34.5" customHeight="1" x14ac:dyDescent="0.25">
      <c r="A54" s="387">
        <v>17</v>
      </c>
      <c r="B54" s="385">
        <v>231</v>
      </c>
      <c r="C54" s="344" t="s">
        <v>574</v>
      </c>
      <c r="D54" s="345">
        <v>4415</v>
      </c>
      <c r="E54" s="345" t="s">
        <v>525</v>
      </c>
      <c r="F54" s="346">
        <v>15500</v>
      </c>
      <c r="G54" s="347" t="s">
        <v>546</v>
      </c>
      <c r="H54" s="130">
        <f t="shared" ref="H54:H55" si="9">I54+J54+K54+L54+M54+N54+O54+P54</f>
        <v>15500</v>
      </c>
      <c r="I54" s="130">
        <v>0</v>
      </c>
      <c r="J54" s="130">
        <v>0</v>
      </c>
      <c r="K54" s="130">
        <v>1325</v>
      </c>
      <c r="L54" s="43">
        <v>4175</v>
      </c>
      <c r="M54" s="130">
        <v>10000</v>
      </c>
      <c r="N54" s="130">
        <v>0</v>
      </c>
      <c r="O54" s="130">
        <v>0</v>
      </c>
      <c r="P54" s="130">
        <v>0</v>
      </c>
      <c r="Q54" s="364" t="s">
        <v>539</v>
      </c>
    </row>
    <row r="55" spans="1:17" s="349" customFormat="1" ht="34.5" customHeight="1" x14ac:dyDescent="0.25">
      <c r="A55" s="387">
        <v>17</v>
      </c>
      <c r="B55" s="385">
        <v>233</v>
      </c>
      <c r="C55" s="344" t="s">
        <v>575</v>
      </c>
      <c r="D55" s="345">
        <v>4469</v>
      </c>
      <c r="E55" s="345" t="s">
        <v>525</v>
      </c>
      <c r="F55" s="346">
        <v>30000</v>
      </c>
      <c r="G55" s="347" t="s">
        <v>576</v>
      </c>
      <c r="H55" s="130">
        <f t="shared" si="9"/>
        <v>30000</v>
      </c>
      <c r="I55" s="130">
        <v>0</v>
      </c>
      <c r="J55" s="130">
        <v>0</v>
      </c>
      <c r="K55" s="130">
        <v>0</v>
      </c>
      <c r="L55" s="43">
        <v>150</v>
      </c>
      <c r="M55" s="130">
        <v>5000</v>
      </c>
      <c r="N55" s="130">
        <v>24850</v>
      </c>
      <c r="O55" s="130">
        <v>0</v>
      </c>
      <c r="P55" s="130">
        <v>0</v>
      </c>
      <c r="Q55" s="348" t="s">
        <v>577</v>
      </c>
    </row>
    <row r="56" spans="1:17" s="349" customFormat="1" ht="15.75" customHeight="1" x14ac:dyDescent="0.25">
      <c r="A56" s="343"/>
      <c r="B56" s="359" t="s">
        <v>40</v>
      </c>
      <c r="C56" s="360"/>
      <c r="D56" s="350"/>
      <c r="E56" s="350"/>
      <c r="F56" s="361"/>
      <c r="G56" s="352"/>
      <c r="H56" s="353">
        <f t="shared" ref="H56:P56" si="10">SUM(H41:H55)</f>
        <v>396159.04096999997</v>
      </c>
      <c r="I56" s="353">
        <f t="shared" si="10"/>
        <v>3303</v>
      </c>
      <c r="J56" s="353">
        <f t="shared" si="10"/>
        <v>1733.0309699999998</v>
      </c>
      <c r="K56" s="353">
        <f t="shared" si="10"/>
        <v>48698.080000000002</v>
      </c>
      <c r="L56" s="353">
        <f t="shared" si="10"/>
        <v>77173</v>
      </c>
      <c r="M56" s="353">
        <f t="shared" si="10"/>
        <v>106000</v>
      </c>
      <c r="N56" s="353">
        <f t="shared" si="10"/>
        <v>193250</v>
      </c>
      <c r="O56" s="353">
        <f t="shared" si="10"/>
        <v>0</v>
      </c>
      <c r="P56" s="353">
        <f t="shared" si="10"/>
        <v>0</v>
      </c>
      <c r="Q56" s="354"/>
    </row>
    <row r="57" spans="1:17" s="342" customFormat="1" ht="18" customHeight="1" x14ac:dyDescent="0.25">
      <c r="A57" s="336"/>
      <c r="B57" s="337" t="s">
        <v>41</v>
      </c>
      <c r="C57" s="338"/>
      <c r="D57" s="336"/>
      <c r="E57" s="336"/>
      <c r="F57" s="339"/>
      <c r="G57" s="340"/>
      <c r="H57" s="338"/>
      <c r="I57" s="338"/>
      <c r="J57" s="338"/>
      <c r="K57" s="338"/>
      <c r="L57" s="338"/>
      <c r="M57" s="338"/>
      <c r="N57" s="338"/>
      <c r="O57" s="338"/>
      <c r="P57" s="338"/>
      <c r="Q57" s="341"/>
    </row>
    <row r="58" spans="1:17" s="349" customFormat="1" ht="24" customHeight="1" x14ac:dyDescent="0.25">
      <c r="A58" s="343"/>
      <c r="B58" s="385">
        <v>379</v>
      </c>
      <c r="C58" s="344" t="s">
        <v>578</v>
      </c>
      <c r="D58" s="345">
        <v>4421</v>
      </c>
      <c r="E58" s="345" t="s">
        <v>530</v>
      </c>
      <c r="F58" s="406" t="s">
        <v>531</v>
      </c>
      <c r="G58" s="407"/>
      <c r="H58" s="130">
        <f>I58+J58+K58+L58+M58+N58+O58+P58</f>
        <v>20105</v>
      </c>
      <c r="I58" s="130">
        <v>605</v>
      </c>
      <c r="J58" s="130">
        <v>0</v>
      </c>
      <c r="K58" s="130">
        <v>150</v>
      </c>
      <c r="L58" s="43">
        <v>19350</v>
      </c>
      <c r="M58" s="130">
        <v>0</v>
      </c>
      <c r="N58" s="130">
        <v>0</v>
      </c>
      <c r="O58" s="130">
        <v>0</v>
      </c>
      <c r="P58" s="130">
        <v>0</v>
      </c>
      <c r="Q58" s="364" t="s">
        <v>539</v>
      </c>
    </row>
    <row r="59" spans="1:17" s="349" customFormat="1" ht="24" customHeight="1" x14ac:dyDescent="0.25">
      <c r="A59" s="343">
        <v>7</v>
      </c>
      <c r="B59" s="385">
        <v>381</v>
      </c>
      <c r="C59" s="344" t="s">
        <v>579</v>
      </c>
      <c r="D59" s="365">
        <v>4424</v>
      </c>
      <c r="E59" s="345" t="s">
        <v>522</v>
      </c>
      <c r="F59" s="346">
        <v>64000</v>
      </c>
      <c r="G59" s="347" t="s">
        <v>568</v>
      </c>
      <c r="H59" s="130">
        <f>I59+J59+K59+L59+M59+N59+O59+P59</f>
        <v>63217.020000000004</v>
      </c>
      <c r="I59" s="130">
        <v>216.59</v>
      </c>
      <c r="J59" s="130">
        <v>0</v>
      </c>
      <c r="K59" s="130">
        <v>100.43</v>
      </c>
      <c r="L59" s="43">
        <v>2000</v>
      </c>
      <c r="M59" s="130">
        <v>21000</v>
      </c>
      <c r="N59" s="130">
        <v>39900</v>
      </c>
      <c r="O59" s="130">
        <v>0</v>
      </c>
      <c r="P59" s="130">
        <v>0</v>
      </c>
      <c r="Q59" s="364" t="s">
        <v>539</v>
      </c>
    </row>
    <row r="60" spans="1:17" s="349" customFormat="1" ht="24" customHeight="1" x14ac:dyDescent="0.25">
      <c r="A60" s="343">
        <v>7</v>
      </c>
      <c r="B60" s="385">
        <v>383</v>
      </c>
      <c r="C60" s="344" t="s">
        <v>580</v>
      </c>
      <c r="D60" s="345">
        <v>4436</v>
      </c>
      <c r="E60" s="345" t="s">
        <v>530</v>
      </c>
      <c r="F60" s="406" t="s">
        <v>531</v>
      </c>
      <c r="G60" s="407"/>
      <c r="H60" s="130">
        <f>I60+J60+K60+L60+M60+N60+O60+P60</f>
        <v>11061</v>
      </c>
      <c r="I60" s="130">
        <v>61</v>
      </c>
      <c r="J60" s="130">
        <v>0</v>
      </c>
      <c r="K60" s="130">
        <v>1000</v>
      </c>
      <c r="L60" s="43">
        <v>10000</v>
      </c>
      <c r="M60" s="130">
        <v>0</v>
      </c>
      <c r="N60" s="130">
        <v>0</v>
      </c>
      <c r="O60" s="130">
        <v>0</v>
      </c>
      <c r="P60" s="130">
        <v>0</v>
      </c>
      <c r="Q60" s="364" t="s">
        <v>539</v>
      </c>
    </row>
    <row r="61" spans="1:17" s="349" customFormat="1" ht="24" customHeight="1" x14ac:dyDescent="0.25">
      <c r="A61" s="343">
        <v>7</v>
      </c>
      <c r="B61" s="385">
        <v>385</v>
      </c>
      <c r="C61" s="344" t="s">
        <v>581</v>
      </c>
      <c r="D61" s="345">
        <v>4143</v>
      </c>
      <c r="E61" s="345" t="s">
        <v>530</v>
      </c>
      <c r="F61" s="406" t="s">
        <v>531</v>
      </c>
      <c r="G61" s="407"/>
      <c r="H61" s="130">
        <f>I61+J61+K61+L61+M61+N61+O61+P61</f>
        <v>57115</v>
      </c>
      <c r="I61" s="130">
        <v>16615</v>
      </c>
      <c r="J61" s="130">
        <v>0</v>
      </c>
      <c r="K61" s="130">
        <v>25500</v>
      </c>
      <c r="L61" s="43">
        <v>15000</v>
      </c>
      <c r="M61" s="130">
        <v>0</v>
      </c>
      <c r="N61" s="130">
        <v>0</v>
      </c>
      <c r="O61" s="130">
        <v>0</v>
      </c>
      <c r="P61" s="130">
        <v>0</v>
      </c>
      <c r="Q61" s="364" t="s">
        <v>539</v>
      </c>
    </row>
    <row r="62" spans="1:17" s="349" customFormat="1" ht="24" customHeight="1" x14ac:dyDescent="0.25">
      <c r="A62" s="343">
        <v>7</v>
      </c>
      <c r="B62" s="385">
        <v>387</v>
      </c>
      <c r="C62" s="344" t="s">
        <v>582</v>
      </c>
      <c r="D62" s="365">
        <v>4155</v>
      </c>
      <c r="E62" s="345" t="s">
        <v>522</v>
      </c>
      <c r="F62" s="346">
        <v>65000</v>
      </c>
      <c r="G62" s="347" t="s">
        <v>583</v>
      </c>
      <c r="H62" s="130">
        <f t="shared" ref="H62:H64" si="11">I62+J62+K62+L62+M62+N62+O62+P62</f>
        <v>64500</v>
      </c>
      <c r="I62" s="130">
        <v>1000</v>
      </c>
      <c r="J62" s="130">
        <v>0</v>
      </c>
      <c r="K62" s="130">
        <v>0</v>
      </c>
      <c r="L62" s="43">
        <v>115</v>
      </c>
      <c r="M62" s="130">
        <v>3385</v>
      </c>
      <c r="N62" s="130">
        <v>30000</v>
      </c>
      <c r="O62" s="130">
        <v>30000</v>
      </c>
      <c r="P62" s="130">
        <v>0</v>
      </c>
      <c r="Q62" s="364" t="s">
        <v>539</v>
      </c>
    </row>
    <row r="63" spans="1:17" s="349" customFormat="1" ht="24" customHeight="1" x14ac:dyDescent="0.25">
      <c r="A63" s="343">
        <v>7</v>
      </c>
      <c r="B63" s="385">
        <v>389</v>
      </c>
      <c r="C63" s="344" t="s">
        <v>584</v>
      </c>
      <c r="D63" s="345">
        <v>5958</v>
      </c>
      <c r="E63" s="345" t="s">
        <v>530</v>
      </c>
      <c r="F63" s="406" t="s">
        <v>531</v>
      </c>
      <c r="G63" s="407"/>
      <c r="H63" s="130">
        <f>I63+J63+K63+L63+M63+N63+O63+P63</f>
        <v>17513.05</v>
      </c>
      <c r="I63" s="130">
        <v>213.05</v>
      </c>
      <c r="J63" s="130">
        <v>0</v>
      </c>
      <c r="K63" s="130">
        <v>150</v>
      </c>
      <c r="L63" s="43">
        <v>17150</v>
      </c>
      <c r="M63" s="130">
        <v>0</v>
      </c>
      <c r="N63" s="130">
        <v>0</v>
      </c>
      <c r="O63" s="130">
        <v>0</v>
      </c>
      <c r="P63" s="130">
        <v>0</v>
      </c>
      <c r="Q63" s="364" t="s">
        <v>539</v>
      </c>
    </row>
    <row r="64" spans="1:17" s="349" customFormat="1" ht="24" customHeight="1" x14ac:dyDescent="0.25">
      <c r="A64" s="343">
        <v>7</v>
      </c>
      <c r="B64" s="385">
        <v>391</v>
      </c>
      <c r="C64" s="344" t="s">
        <v>742</v>
      </c>
      <c r="D64" s="345">
        <v>4291</v>
      </c>
      <c r="E64" s="345" t="s">
        <v>530</v>
      </c>
      <c r="F64" s="406" t="s">
        <v>531</v>
      </c>
      <c r="G64" s="407"/>
      <c r="H64" s="130">
        <f t="shared" si="11"/>
        <v>17049.989999999998</v>
      </c>
      <c r="I64" s="130">
        <v>799.9899999999999</v>
      </c>
      <c r="J64" s="130">
        <v>0</v>
      </c>
      <c r="K64" s="130">
        <v>1250</v>
      </c>
      <c r="L64" s="43">
        <v>15000</v>
      </c>
      <c r="M64" s="130">
        <v>0</v>
      </c>
      <c r="N64" s="130">
        <v>0</v>
      </c>
      <c r="O64" s="130">
        <v>0</v>
      </c>
      <c r="P64" s="130">
        <v>0</v>
      </c>
      <c r="Q64" s="364" t="s">
        <v>539</v>
      </c>
    </row>
    <row r="65" spans="1:17" s="349" customFormat="1" ht="24" customHeight="1" x14ac:dyDescent="0.25">
      <c r="A65" s="343">
        <v>14</v>
      </c>
      <c r="B65" s="385">
        <v>393</v>
      </c>
      <c r="C65" s="344" t="s">
        <v>185</v>
      </c>
      <c r="D65" s="345">
        <v>5758</v>
      </c>
      <c r="E65" s="345" t="s">
        <v>525</v>
      </c>
      <c r="F65" s="346">
        <v>332000</v>
      </c>
      <c r="G65" s="347" t="s">
        <v>585</v>
      </c>
      <c r="H65" s="130">
        <f>I65+J65+K65+L65+M65+N65+O65+P65</f>
        <v>332000.2</v>
      </c>
      <c r="I65" s="130">
        <v>0</v>
      </c>
      <c r="J65" s="130">
        <v>50712.2</v>
      </c>
      <c r="K65" s="130">
        <v>137000</v>
      </c>
      <c r="L65" s="43">
        <v>94288</v>
      </c>
      <c r="M65" s="130">
        <v>50000</v>
      </c>
      <c r="N65" s="130">
        <v>0</v>
      </c>
      <c r="O65" s="130">
        <v>0</v>
      </c>
      <c r="P65" s="130">
        <v>0</v>
      </c>
      <c r="Q65" s="364" t="s">
        <v>539</v>
      </c>
    </row>
    <row r="66" spans="1:17" s="349" customFormat="1" ht="34.5" customHeight="1" x14ac:dyDescent="0.25">
      <c r="A66" s="343">
        <v>15</v>
      </c>
      <c r="B66" s="385">
        <v>395</v>
      </c>
      <c r="C66" s="344" t="s">
        <v>586</v>
      </c>
      <c r="D66" s="345">
        <v>5347</v>
      </c>
      <c r="E66" s="345" t="s">
        <v>536</v>
      </c>
      <c r="F66" s="406" t="s">
        <v>531</v>
      </c>
      <c r="G66" s="407"/>
      <c r="H66" s="130">
        <f>L66</f>
        <v>2000</v>
      </c>
      <c r="I66" s="130">
        <v>0</v>
      </c>
      <c r="J66" s="130">
        <v>0</v>
      </c>
      <c r="K66" s="130">
        <v>4000</v>
      </c>
      <c r="L66" s="43">
        <v>2000</v>
      </c>
      <c r="M66" s="130">
        <v>0</v>
      </c>
      <c r="N66" s="130">
        <v>0</v>
      </c>
      <c r="O66" s="130">
        <v>0</v>
      </c>
      <c r="P66" s="130">
        <v>0</v>
      </c>
      <c r="Q66" s="348" t="s">
        <v>532</v>
      </c>
    </row>
    <row r="67" spans="1:17" s="349" customFormat="1" ht="15.75" customHeight="1" x14ac:dyDescent="0.25">
      <c r="A67" s="343"/>
      <c r="B67" s="359" t="s">
        <v>42</v>
      </c>
      <c r="C67" s="360"/>
      <c r="D67" s="350"/>
      <c r="E67" s="350"/>
      <c r="F67" s="361"/>
      <c r="G67" s="352"/>
      <c r="H67" s="353">
        <f t="shared" ref="H67:O67" si="12">SUM(H58:H66)</f>
        <v>584561.26</v>
      </c>
      <c r="I67" s="353">
        <f t="shared" si="12"/>
        <v>19510.63</v>
      </c>
      <c r="J67" s="353">
        <f t="shared" si="12"/>
        <v>50712.2</v>
      </c>
      <c r="K67" s="353">
        <f t="shared" si="12"/>
        <v>169150.43</v>
      </c>
      <c r="L67" s="353">
        <f t="shared" si="12"/>
        <v>174903</v>
      </c>
      <c r="M67" s="353">
        <f t="shared" si="12"/>
        <v>74385</v>
      </c>
      <c r="N67" s="353">
        <f t="shared" si="12"/>
        <v>69900</v>
      </c>
      <c r="O67" s="353">
        <f t="shared" si="12"/>
        <v>30000</v>
      </c>
      <c r="P67" s="353">
        <f>SUM(P58:P66)</f>
        <v>0</v>
      </c>
      <c r="Q67" s="354"/>
    </row>
    <row r="68" spans="1:17" s="342" customFormat="1" ht="18" customHeight="1" x14ac:dyDescent="0.25">
      <c r="A68" s="336"/>
      <c r="B68" s="337" t="s">
        <v>43</v>
      </c>
      <c r="C68" s="338"/>
      <c r="D68" s="336"/>
      <c r="E68" s="336"/>
      <c r="F68" s="339"/>
      <c r="G68" s="340"/>
      <c r="H68" s="338"/>
      <c r="I68" s="338"/>
      <c r="J68" s="338"/>
      <c r="K68" s="338"/>
      <c r="L68" s="338"/>
      <c r="M68" s="338"/>
      <c r="N68" s="338"/>
      <c r="O68" s="338"/>
      <c r="P68" s="338"/>
      <c r="Q68" s="341"/>
    </row>
    <row r="69" spans="1:17" s="349" customFormat="1" ht="24" customHeight="1" x14ac:dyDescent="0.25">
      <c r="A69" s="343">
        <v>7</v>
      </c>
      <c r="B69" s="385">
        <v>492</v>
      </c>
      <c r="C69" s="344" t="s">
        <v>587</v>
      </c>
      <c r="D69" s="345">
        <v>4262</v>
      </c>
      <c r="E69" s="345" t="s">
        <v>530</v>
      </c>
      <c r="F69" s="406" t="s">
        <v>531</v>
      </c>
      <c r="G69" s="407"/>
      <c r="H69" s="130">
        <f>I69+J69+K69+L69+M69+N69+O69+P69</f>
        <v>54400.004000000001</v>
      </c>
      <c r="I69" s="130">
        <v>0</v>
      </c>
      <c r="J69" s="130">
        <v>169.88400000000001</v>
      </c>
      <c r="K69" s="130">
        <v>5230.12</v>
      </c>
      <c r="L69" s="43">
        <v>49000</v>
      </c>
      <c r="M69" s="130">
        <v>0</v>
      </c>
      <c r="N69" s="130">
        <v>0</v>
      </c>
      <c r="O69" s="130">
        <v>0</v>
      </c>
      <c r="P69" s="130">
        <v>0</v>
      </c>
      <c r="Q69" s="364" t="s">
        <v>539</v>
      </c>
    </row>
    <row r="70" spans="1:17" s="349" customFormat="1" ht="45" customHeight="1" x14ac:dyDescent="0.25">
      <c r="A70" s="343">
        <v>7</v>
      </c>
      <c r="B70" s="385">
        <v>494</v>
      </c>
      <c r="C70" s="344" t="s">
        <v>588</v>
      </c>
      <c r="D70" s="345">
        <v>4002</v>
      </c>
      <c r="E70" s="345" t="s">
        <v>530</v>
      </c>
      <c r="F70" s="406" t="s">
        <v>531</v>
      </c>
      <c r="G70" s="407"/>
      <c r="H70" s="130">
        <f t="shared" ref="H70" si="13">I70+J70+K70+L70+M70+N70+O70+P70</f>
        <v>63564.586340000002</v>
      </c>
      <c r="I70" s="130">
        <v>132.36000000000001</v>
      </c>
      <c r="J70" s="130">
        <v>1262.11634</v>
      </c>
      <c r="K70" s="130">
        <v>20170.11</v>
      </c>
      <c r="L70" s="43">
        <v>42000</v>
      </c>
      <c r="M70" s="130">
        <v>0</v>
      </c>
      <c r="N70" s="130">
        <v>0</v>
      </c>
      <c r="O70" s="130">
        <v>0</v>
      </c>
      <c r="P70" s="130">
        <v>0</v>
      </c>
      <c r="Q70" s="364" t="s">
        <v>539</v>
      </c>
    </row>
    <row r="71" spans="1:17" s="349" customFormat="1" ht="24" customHeight="1" x14ac:dyDescent="0.25">
      <c r="A71" s="343">
        <v>7</v>
      </c>
      <c r="B71" s="385">
        <v>496</v>
      </c>
      <c r="C71" s="344" t="s">
        <v>589</v>
      </c>
      <c r="D71" s="345">
        <v>4289</v>
      </c>
      <c r="E71" s="345" t="s">
        <v>530</v>
      </c>
      <c r="F71" s="406" t="s">
        <v>539</v>
      </c>
      <c r="G71" s="407"/>
      <c r="H71" s="130">
        <f>I71+J71+K71+L71+M71+N71+O71+P71</f>
        <v>100000</v>
      </c>
      <c r="I71" s="130">
        <v>0</v>
      </c>
      <c r="J71" s="130">
        <v>0</v>
      </c>
      <c r="K71" s="130">
        <v>300</v>
      </c>
      <c r="L71" s="43">
        <v>9700</v>
      </c>
      <c r="M71" s="130">
        <v>20000</v>
      </c>
      <c r="N71" s="130">
        <v>70000</v>
      </c>
      <c r="O71" s="130">
        <v>0</v>
      </c>
      <c r="P71" s="130">
        <v>0</v>
      </c>
      <c r="Q71" s="364" t="s">
        <v>539</v>
      </c>
    </row>
    <row r="72" spans="1:17" s="349" customFormat="1" ht="24" customHeight="1" x14ac:dyDescent="0.25">
      <c r="A72" s="343">
        <v>7</v>
      </c>
      <c r="B72" s="385">
        <v>498</v>
      </c>
      <c r="C72" s="344" t="s">
        <v>590</v>
      </c>
      <c r="D72" s="345">
        <v>4287</v>
      </c>
      <c r="E72" s="345" t="s">
        <v>530</v>
      </c>
      <c r="F72" s="406" t="s">
        <v>531</v>
      </c>
      <c r="G72" s="407"/>
      <c r="H72" s="130">
        <f t="shared" ref="H72:H132" si="14">I72+J72+K72+L72+M72+N72+O72+P72</f>
        <v>16000</v>
      </c>
      <c r="I72" s="130">
        <v>0</v>
      </c>
      <c r="J72" s="130">
        <v>0</v>
      </c>
      <c r="K72" s="130">
        <v>1000</v>
      </c>
      <c r="L72" s="43">
        <v>15000</v>
      </c>
      <c r="M72" s="130">
        <v>0</v>
      </c>
      <c r="N72" s="130">
        <v>0</v>
      </c>
      <c r="O72" s="130">
        <v>0</v>
      </c>
      <c r="P72" s="130">
        <v>0</v>
      </c>
      <c r="Q72" s="364" t="s">
        <v>539</v>
      </c>
    </row>
    <row r="73" spans="1:17" s="349" customFormat="1" ht="24" customHeight="1" x14ac:dyDescent="0.25">
      <c r="A73" s="343">
        <v>7</v>
      </c>
      <c r="B73" s="385">
        <v>500</v>
      </c>
      <c r="C73" s="344" t="s">
        <v>591</v>
      </c>
      <c r="D73" s="345">
        <v>4275</v>
      </c>
      <c r="E73" s="345" t="s">
        <v>530</v>
      </c>
      <c r="F73" s="406" t="s">
        <v>531</v>
      </c>
      <c r="G73" s="407"/>
      <c r="H73" s="130">
        <f t="shared" si="14"/>
        <v>27071.01</v>
      </c>
      <c r="I73" s="130">
        <v>571</v>
      </c>
      <c r="J73" s="130">
        <v>506.39</v>
      </c>
      <c r="K73" s="130">
        <v>16993.62</v>
      </c>
      <c r="L73" s="43">
        <v>9000</v>
      </c>
      <c r="M73" s="130">
        <v>0</v>
      </c>
      <c r="N73" s="130">
        <v>0</v>
      </c>
      <c r="O73" s="130">
        <v>0</v>
      </c>
      <c r="P73" s="130">
        <v>0</v>
      </c>
      <c r="Q73" s="364" t="s">
        <v>539</v>
      </c>
    </row>
    <row r="74" spans="1:17" s="349" customFormat="1" ht="24" customHeight="1" x14ac:dyDescent="0.25">
      <c r="A74" s="343">
        <v>7</v>
      </c>
      <c r="B74" s="385">
        <v>502</v>
      </c>
      <c r="C74" s="344" t="s">
        <v>592</v>
      </c>
      <c r="D74" s="345">
        <v>4283</v>
      </c>
      <c r="E74" s="345" t="s">
        <v>530</v>
      </c>
      <c r="F74" s="406" t="s">
        <v>531</v>
      </c>
      <c r="G74" s="407"/>
      <c r="H74" s="130">
        <f t="shared" si="14"/>
        <v>12500</v>
      </c>
      <c r="I74" s="130">
        <v>0</v>
      </c>
      <c r="J74" s="130">
        <v>532.4</v>
      </c>
      <c r="K74" s="130">
        <v>6967.6</v>
      </c>
      <c r="L74" s="43">
        <v>5000</v>
      </c>
      <c r="M74" s="130">
        <v>0</v>
      </c>
      <c r="N74" s="130">
        <v>0</v>
      </c>
      <c r="O74" s="130">
        <v>0</v>
      </c>
      <c r="P74" s="130">
        <v>0</v>
      </c>
      <c r="Q74" s="364" t="s">
        <v>539</v>
      </c>
    </row>
    <row r="75" spans="1:17" s="349" customFormat="1" ht="45" customHeight="1" x14ac:dyDescent="0.25">
      <c r="A75" s="343">
        <v>7</v>
      </c>
      <c r="B75" s="385">
        <v>504</v>
      </c>
      <c r="C75" s="344" t="s">
        <v>593</v>
      </c>
      <c r="D75" s="365">
        <v>5868</v>
      </c>
      <c r="E75" s="345" t="s">
        <v>522</v>
      </c>
      <c r="F75" s="346">
        <v>80000</v>
      </c>
      <c r="G75" s="347" t="s">
        <v>563</v>
      </c>
      <c r="H75" s="130">
        <f t="shared" si="14"/>
        <v>71999.977199999994</v>
      </c>
      <c r="I75" s="130">
        <v>0</v>
      </c>
      <c r="J75" s="130">
        <v>1926.1771999999999</v>
      </c>
      <c r="K75" s="130">
        <v>3534.8</v>
      </c>
      <c r="L75" s="43">
        <v>25000</v>
      </c>
      <c r="M75" s="130">
        <v>41539</v>
      </c>
      <c r="N75" s="130">
        <v>0</v>
      </c>
      <c r="O75" s="130">
        <v>0</v>
      </c>
      <c r="P75" s="130">
        <v>0</v>
      </c>
      <c r="Q75" s="364" t="s">
        <v>539</v>
      </c>
    </row>
    <row r="76" spans="1:17" s="349" customFormat="1" ht="35.25" customHeight="1" x14ac:dyDescent="0.25">
      <c r="A76" s="343">
        <v>7</v>
      </c>
      <c r="B76" s="385">
        <v>506</v>
      </c>
      <c r="C76" s="344" t="s">
        <v>594</v>
      </c>
      <c r="D76" s="365">
        <v>5867</v>
      </c>
      <c r="E76" s="345" t="s">
        <v>522</v>
      </c>
      <c r="F76" s="346">
        <v>190000</v>
      </c>
      <c r="G76" s="347" t="s">
        <v>585</v>
      </c>
      <c r="H76" s="130">
        <f t="shared" si="14"/>
        <v>162480.71000000002</v>
      </c>
      <c r="I76" s="130">
        <v>0</v>
      </c>
      <c r="J76" s="130">
        <v>2235.66</v>
      </c>
      <c r="K76" s="130">
        <v>82592</v>
      </c>
      <c r="L76" s="43">
        <v>40000</v>
      </c>
      <c r="M76" s="130">
        <v>37653.050000000003</v>
      </c>
      <c r="N76" s="130">
        <v>0</v>
      </c>
      <c r="O76" s="130">
        <v>0</v>
      </c>
      <c r="P76" s="130">
        <v>0</v>
      </c>
      <c r="Q76" s="364" t="s">
        <v>539</v>
      </c>
    </row>
    <row r="77" spans="1:17" s="349" customFormat="1" ht="35.25" customHeight="1" x14ac:dyDescent="0.25">
      <c r="A77" s="343">
        <v>7</v>
      </c>
      <c r="B77" s="385">
        <v>508</v>
      </c>
      <c r="C77" s="344" t="s">
        <v>595</v>
      </c>
      <c r="D77" s="345">
        <v>5681</v>
      </c>
      <c r="E77" s="345" t="s">
        <v>522</v>
      </c>
      <c r="F77" s="346">
        <v>20000</v>
      </c>
      <c r="G77" s="347" t="s">
        <v>585</v>
      </c>
      <c r="H77" s="130">
        <f t="shared" si="14"/>
        <v>19377.265619999998</v>
      </c>
      <c r="I77" s="130">
        <v>0</v>
      </c>
      <c r="J77" s="130">
        <v>4201.2656200000001</v>
      </c>
      <c r="K77" s="130">
        <v>1100</v>
      </c>
      <c r="L77" s="43">
        <v>8900</v>
      </c>
      <c r="M77" s="130">
        <v>5176</v>
      </c>
      <c r="N77" s="130">
        <v>0</v>
      </c>
      <c r="O77" s="130">
        <v>0</v>
      </c>
      <c r="P77" s="130">
        <v>0</v>
      </c>
      <c r="Q77" s="348" t="s">
        <v>596</v>
      </c>
    </row>
    <row r="78" spans="1:17" s="349" customFormat="1" ht="24" customHeight="1" x14ac:dyDescent="0.25">
      <c r="A78" s="343">
        <v>7</v>
      </c>
      <c r="B78" s="385">
        <v>510</v>
      </c>
      <c r="C78" s="344" t="s">
        <v>597</v>
      </c>
      <c r="D78" s="365">
        <v>4263</v>
      </c>
      <c r="E78" s="345" t="s">
        <v>522</v>
      </c>
      <c r="F78" s="346">
        <v>110000</v>
      </c>
      <c r="G78" s="347" t="s">
        <v>598</v>
      </c>
      <c r="H78" s="130">
        <f t="shared" si="14"/>
        <v>104987.98999999999</v>
      </c>
      <c r="I78" s="130">
        <v>180.29</v>
      </c>
      <c r="J78" s="130">
        <v>1657.7</v>
      </c>
      <c r="K78" s="130">
        <v>8150</v>
      </c>
      <c r="L78" s="43">
        <v>32000</v>
      </c>
      <c r="M78" s="130">
        <v>50000</v>
      </c>
      <c r="N78" s="130">
        <v>13000</v>
      </c>
      <c r="O78" s="130">
        <v>0</v>
      </c>
      <c r="P78" s="130">
        <v>0</v>
      </c>
      <c r="Q78" s="364" t="s">
        <v>539</v>
      </c>
    </row>
    <row r="79" spans="1:17" s="349" customFormat="1" ht="24" customHeight="1" x14ac:dyDescent="0.25">
      <c r="A79" s="343">
        <v>7</v>
      </c>
      <c r="B79" s="385">
        <v>512</v>
      </c>
      <c r="C79" s="344" t="s">
        <v>826</v>
      </c>
      <c r="D79" s="345">
        <v>4316</v>
      </c>
      <c r="E79" s="345" t="s">
        <v>530</v>
      </c>
      <c r="F79" s="406" t="s">
        <v>531</v>
      </c>
      <c r="G79" s="407"/>
      <c r="H79" s="130">
        <f t="shared" si="14"/>
        <v>7500.01</v>
      </c>
      <c r="I79" s="130">
        <v>0</v>
      </c>
      <c r="J79" s="130">
        <v>277.93</v>
      </c>
      <c r="K79" s="130">
        <v>822.08</v>
      </c>
      <c r="L79" s="43">
        <v>6400</v>
      </c>
      <c r="M79" s="130">
        <v>0</v>
      </c>
      <c r="N79" s="130">
        <v>0</v>
      </c>
      <c r="O79" s="130">
        <v>0</v>
      </c>
      <c r="P79" s="130">
        <v>0</v>
      </c>
      <c r="Q79" s="364" t="s">
        <v>539</v>
      </c>
    </row>
    <row r="80" spans="1:17" s="349" customFormat="1" ht="35.25" customHeight="1" x14ac:dyDescent="0.25">
      <c r="A80" s="343">
        <v>7</v>
      </c>
      <c r="B80" s="385">
        <v>514</v>
      </c>
      <c r="C80" s="344" t="s">
        <v>599</v>
      </c>
      <c r="D80" s="365">
        <v>4095</v>
      </c>
      <c r="E80" s="345" t="s">
        <v>522</v>
      </c>
      <c r="F80" s="346">
        <v>135000</v>
      </c>
      <c r="G80" s="347" t="s">
        <v>600</v>
      </c>
      <c r="H80" s="130">
        <f t="shared" si="14"/>
        <v>120000.307</v>
      </c>
      <c r="I80" s="130">
        <v>128.4</v>
      </c>
      <c r="J80" s="130">
        <v>2256.9070000000002</v>
      </c>
      <c r="K80" s="130">
        <v>115</v>
      </c>
      <c r="L80" s="43">
        <v>40000</v>
      </c>
      <c r="M80" s="130">
        <v>77500</v>
      </c>
      <c r="N80" s="130">
        <v>0</v>
      </c>
      <c r="O80" s="130">
        <v>0</v>
      </c>
      <c r="P80" s="130">
        <v>0</v>
      </c>
      <c r="Q80" s="364" t="s">
        <v>539</v>
      </c>
    </row>
    <row r="81" spans="1:17" s="349" customFormat="1" ht="24" customHeight="1" x14ac:dyDescent="0.25">
      <c r="A81" s="343">
        <v>7</v>
      </c>
      <c r="B81" s="385">
        <v>516</v>
      </c>
      <c r="C81" s="344" t="s">
        <v>601</v>
      </c>
      <c r="D81" s="345">
        <v>4082</v>
      </c>
      <c r="E81" s="345" t="s">
        <v>530</v>
      </c>
      <c r="F81" s="406" t="s">
        <v>531</v>
      </c>
      <c r="G81" s="407"/>
      <c r="H81" s="130">
        <f t="shared" si="14"/>
        <v>25300</v>
      </c>
      <c r="I81" s="130">
        <v>0</v>
      </c>
      <c r="J81" s="130">
        <v>746.69</v>
      </c>
      <c r="K81" s="130">
        <v>2553.31</v>
      </c>
      <c r="L81" s="43">
        <v>22000</v>
      </c>
      <c r="M81" s="130">
        <v>0</v>
      </c>
      <c r="N81" s="130">
        <v>0</v>
      </c>
      <c r="O81" s="130">
        <v>0</v>
      </c>
      <c r="P81" s="130">
        <v>0</v>
      </c>
      <c r="Q81" s="364" t="s">
        <v>539</v>
      </c>
    </row>
    <row r="82" spans="1:17" s="349" customFormat="1" ht="24" customHeight="1" x14ac:dyDescent="0.25">
      <c r="A82" s="343">
        <v>7</v>
      </c>
      <c r="B82" s="385">
        <v>518</v>
      </c>
      <c r="C82" s="344" t="s">
        <v>602</v>
      </c>
      <c r="D82" s="365">
        <v>4034</v>
      </c>
      <c r="E82" s="345" t="s">
        <v>522</v>
      </c>
      <c r="F82" s="346">
        <v>28000</v>
      </c>
      <c r="G82" s="347" t="s">
        <v>603</v>
      </c>
      <c r="H82" s="130">
        <f t="shared" si="14"/>
        <v>20100.28</v>
      </c>
      <c r="I82" s="130">
        <v>0</v>
      </c>
      <c r="J82" s="130">
        <v>1243.28</v>
      </c>
      <c r="K82" s="130">
        <v>7400</v>
      </c>
      <c r="L82" s="43">
        <v>6400</v>
      </c>
      <c r="M82" s="130">
        <v>5057</v>
      </c>
      <c r="N82" s="130">
        <v>0</v>
      </c>
      <c r="O82" s="130">
        <v>0</v>
      </c>
      <c r="P82" s="130">
        <v>0</v>
      </c>
      <c r="Q82" s="364" t="s">
        <v>539</v>
      </c>
    </row>
    <row r="83" spans="1:17" s="349" customFormat="1" ht="35.25" customHeight="1" x14ac:dyDescent="0.25">
      <c r="A83" s="343">
        <v>7</v>
      </c>
      <c r="B83" s="385">
        <v>520</v>
      </c>
      <c r="C83" s="344" t="s">
        <v>604</v>
      </c>
      <c r="D83" s="345">
        <v>4376</v>
      </c>
      <c r="E83" s="345" t="s">
        <v>530</v>
      </c>
      <c r="F83" s="406" t="s">
        <v>531</v>
      </c>
      <c r="G83" s="407"/>
      <c r="H83" s="130">
        <f t="shared" si="14"/>
        <v>23500</v>
      </c>
      <c r="I83" s="130">
        <v>0</v>
      </c>
      <c r="J83" s="130">
        <v>0</v>
      </c>
      <c r="K83" s="130">
        <v>1150</v>
      </c>
      <c r="L83" s="43">
        <v>10850</v>
      </c>
      <c r="M83" s="130">
        <v>11500</v>
      </c>
      <c r="N83" s="130">
        <v>0</v>
      </c>
      <c r="O83" s="130">
        <v>0</v>
      </c>
      <c r="P83" s="130">
        <v>0</v>
      </c>
      <c r="Q83" s="364" t="s">
        <v>539</v>
      </c>
    </row>
    <row r="84" spans="1:17" s="349" customFormat="1" ht="24" customHeight="1" x14ac:dyDescent="0.25">
      <c r="A84" s="343">
        <v>7</v>
      </c>
      <c r="B84" s="385">
        <v>522</v>
      </c>
      <c r="C84" s="344" t="s">
        <v>605</v>
      </c>
      <c r="D84" s="345">
        <v>4377</v>
      </c>
      <c r="E84" s="345" t="s">
        <v>530</v>
      </c>
      <c r="F84" s="406" t="s">
        <v>531</v>
      </c>
      <c r="G84" s="407"/>
      <c r="H84" s="130">
        <f t="shared" si="14"/>
        <v>22543.05</v>
      </c>
      <c r="I84" s="130">
        <v>543.04999999999995</v>
      </c>
      <c r="J84" s="130">
        <v>0</v>
      </c>
      <c r="K84" s="130">
        <v>2000</v>
      </c>
      <c r="L84" s="43">
        <v>5000</v>
      </c>
      <c r="M84" s="130">
        <v>15000</v>
      </c>
      <c r="N84" s="130">
        <v>0</v>
      </c>
      <c r="O84" s="130">
        <v>0</v>
      </c>
      <c r="P84" s="130">
        <v>0</v>
      </c>
      <c r="Q84" s="364" t="s">
        <v>539</v>
      </c>
    </row>
    <row r="85" spans="1:17" s="349" customFormat="1" ht="24" customHeight="1" x14ac:dyDescent="0.25">
      <c r="A85" s="343">
        <v>7</v>
      </c>
      <c r="B85" s="385">
        <v>524</v>
      </c>
      <c r="C85" s="344" t="s">
        <v>606</v>
      </c>
      <c r="D85" s="345">
        <v>4381</v>
      </c>
      <c r="E85" s="345" t="s">
        <v>530</v>
      </c>
      <c r="F85" s="406" t="s">
        <v>531</v>
      </c>
      <c r="G85" s="407"/>
      <c r="H85" s="130">
        <f t="shared" si="14"/>
        <v>2850</v>
      </c>
      <c r="I85" s="130">
        <v>0</v>
      </c>
      <c r="J85" s="130">
        <v>0</v>
      </c>
      <c r="K85" s="130">
        <v>550</v>
      </c>
      <c r="L85" s="43">
        <v>2300</v>
      </c>
      <c r="M85" s="130">
        <v>0</v>
      </c>
      <c r="N85" s="130">
        <v>0</v>
      </c>
      <c r="O85" s="130">
        <v>0</v>
      </c>
      <c r="P85" s="130">
        <v>0</v>
      </c>
      <c r="Q85" s="364" t="s">
        <v>539</v>
      </c>
    </row>
    <row r="86" spans="1:17" s="349" customFormat="1" ht="24" customHeight="1" x14ac:dyDescent="0.25">
      <c r="A86" s="343">
        <v>7</v>
      </c>
      <c r="B86" s="385">
        <v>526</v>
      </c>
      <c r="C86" s="344" t="s">
        <v>607</v>
      </c>
      <c r="D86" s="345">
        <v>4385</v>
      </c>
      <c r="E86" s="345" t="s">
        <v>530</v>
      </c>
      <c r="F86" s="406" t="s">
        <v>531</v>
      </c>
      <c r="G86" s="407"/>
      <c r="H86" s="130">
        <f t="shared" si="14"/>
        <v>18925</v>
      </c>
      <c r="I86" s="130">
        <v>0</v>
      </c>
      <c r="J86" s="130">
        <v>0</v>
      </c>
      <c r="K86" s="130">
        <v>925</v>
      </c>
      <c r="L86" s="43">
        <v>18000</v>
      </c>
      <c r="M86" s="130">
        <v>0</v>
      </c>
      <c r="N86" s="130">
        <v>0</v>
      </c>
      <c r="O86" s="130">
        <v>0</v>
      </c>
      <c r="P86" s="130">
        <v>0</v>
      </c>
      <c r="Q86" s="364" t="s">
        <v>539</v>
      </c>
    </row>
    <row r="87" spans="1:17" s="349" customFormat="1" ht="24" customHeight="1" x14ac:dyDescent="0.25">
      <c r="A87" s="343">
        <v>7</v>
      </c>
      <c r="B87" s="385">
        <v>528</v>
      </c>
      <c r="C87" s="344" t="s">
        <v>608</v>
      </c>
      <c r="D87" s="345">
        <v>4391</v>
      </c>
      <c r="E87" s="345" t="s">
        <v>530</v>
      </c>
      <c r="F87" s="406" t="s">
        <v>531</v>
      </c>
      <c r="G87" s="407"/>
      <c r="H87" s="130">
        <f t="shared" si="14"/>
        <v>14021</v>
      </c>
      <c r="I87" s="130">
        <v>21</v>
      </c>
      <c r="J87" s="130">
        <v>0</v>
      </c>
      <c r="K87" s="130">
        <v>300</v>
      </c>
      <c r="L87" s="43">
        <v>13700</v>
      </c>
      <c r="M87" s="130">
        <v>0</v>
      </c>
      <c r="N87" s="130">
        <v>0</v>
      </c>
      <c r="O87" s="130">
        <v>0</v>
      </c>
      <c r="P87" s="130">
        <v>0</v>
      </c>
      <c r="Q87" s="364" t="s">
        <v>539</v>
      </c>
    </row>
    <row r="88" spans="1:17" s="349" customFormat="1" ht="34.5" customHeight="1" x14ac:dyDescent="0.25">
      <c r="A88" s="343">
        <v>7</v>
      </c>
      <c r="B88" s="385">
        <v>530</v>
      </c>
      <c r="C88" s="344" t="s">
        <v>743</v>
      </c>
      <c r="D88" s="345">
        <v>4392</v>
      </c>
      <c r="E88" s="345" t="s">
        <v>530</v>
      </c>
      <c r="F88" s="406" t="s">
        <v>531</v>
      </c>
      <c r="G88" s="407"/>
      <c r="H88" s="130">
        <f t="shared" si="14"/>
        <v>12500</v>
      </c>
      <c r="I88" s="130">
        <v>0</v>
      </c>
      <c r="J88" s="130">
        <v>0</v>
      </c>
      <c r="K88" s="130">
        <v>2500</v>
      </c>
      <c r="L88" s="43">
        <v>6000</v>
      </c>
      <c r="M88" s="130">
        <v>4000</v>
      </c>
      <c r="N88" s="130">
        <v>0</v>
      </c>
      <c r="O88" s="130">
        <v>0</v>
      </c>
      <c r="P88" s="130">
        <v>0</v>
      </c>
      <c r="Q88" s="364" t="s">
        <v>539</v>
      </c>
    </row>
    <row r="89" spans="1:17" s="349" customFormat="1" ht="24" customHeight="1" x14ac:dyDescent="0.25">
      <c r="A89" s="343">
        <v>7</v>
      </c>
      <c r="B89" s="385">
        <v>532</v>
      </c>
      <c r="C89" s="344" t="s">
        <v>609</v>
      </c>
      <c r="D89" s="345">
        <v>4393</v>
      </c>
      <c r="E89" s="345" t="s">
        <v>530</v>
      </c>
      <c r="F89" s="406" t="s">
        <v>531</v>
      </c>
      <c r="G89" s="407"/>
      <c r="H89" s="130">
        <f t="shared" si="14"/>
        <v>37000</v>
      </c>
      <c r="I89" s="130">
        <v>0</v>
      </c>
      <c r="J89" s="130">
        <v>0</v>
      </c>
      <c r="K89" s="130">
        <v>2000</v>
      </c>
      <c r="L89" s="43">
        <v>10000</v>
      </c>
      <c r="M89" s="130">
        <v>25000</v>
      </c>
      <c r="N89" s="130">
        <v>0</v>
      </c>
      <c r="O89" s="130">
        <v>0</v>
      </c>
      <c r="P89" s="130">
        <v>0</v>
      </c>
      <c r="Q89" s="364" t="s">
        <v>539</v>
      </c>
    </row>
    <row r="90" spans="1:17" s="349" customFormat="1" ht="24" customHeight="1" x14ac:dyDescent="0.25">
      <c r="A90" s="343">
        <v>7</v>
      </c>
      <c r="B90" s="385">
        <v>534</v>
      </c>
      <c r="C90" s="344" t="s">
        <v>610</v>
      </c>
      <c r="D90" s="345">
        <v>4163</v>
      </c>
      <c r="E90" s="345" t="s">
        <v>530</v>
      </c>
      <c r="F90" s="406" t="s">
        <v>531</v>
      </c>
      <c r="G90" s="407"/>
      <c r="H90" s="130">
        <f t="shared" si="14"/>
        <v>9836.5371200000009</v>
      </c>
      <c r="I90" s="130">
        <v>186.54</v>
      </c>
      <c r="J90" s="130">
        <v>5499.99712</v>
      </c>
      <c r="K90" s="130">
        <v>150</v>
      </c>
      <c r="L90" s="43">
        <v>4000</v>
      </c>
      <c r="M90" s="130">
        <v>0</v>
      </c>
      <c r="N90" s="130">
        <v>0</v>
      </c>
      <c r="O90" s="130">
        <v>0</v>
      </c>
      <c r="P90" s="130">
        <v>0</v>
      </c>
      <c r="Q90" s="364" t="s">
        <v>539</v>
      </c>
    </row>
    <row r="91" spans="1:17" s="349" customFormat="1" ht="34.5" customHeight="1" x14ac:dyDescent="0.25">
      <c r="A91" s="343">
        <v>7</v>
      </c>
      <c r="B91" s="385">
        <v>536</v>
      </c>
      <c r="C91" s="344" t="s">
        <v>611</v>
      </c>
      <c r="D91" s="345">
        <v>4396</v>
      </c>
      <c r="E91" s="345" t="s">
        <v>530</v>
      </c>
      <c r="F91" s="406" t="s">
        <v>531</v>
      </c>
      <c r="G91" s="407"/>
      <c r="H91" s="130">
        <f t="shared" si="14"/>
        <v>15700</v>
      </c>
      <c r="I91" s="130">
        <v>0</v>
      </c>
      <c r="J91" s="130">
        <v>0</v>
      </c>
      <c r="K91" s="130">
        <v>700</v>
      </c>
      <c r="L91" s="43">
        <v>15000</v>
      </c>
      <c r="M91" s="130">
        <v>0</v>
      </c>
      <c r="N91" s="130">
        <v>0</v>
      </c>
      <c r="O91" s="130">
        <v>0</v>
      </c>
      <c r="P91" s="130">
        <v>0</v>
      </c>
      <c r="Q91" s="364" t="s">
        <v>539</v>
      </c>
    </row>
    <row r="92" spans="1:17" s="349" customFormat="1" ht="34.5" customHeight="1" x14ac:dyDescent="0.25">
      <c r="A92" s="343">
        <v>7</v>
      </c>
      <c r="B92" s="385">
        <v>538</v>
      </c>
      <c r="C92" s="344" t="s">
        <v>612</v>
      </c>
      <c r="D92" s="345">
        <v>4397</v>
      </c>
      <c r="E92" s="345" t="s">
        <v>530</v>
      </c>
      <c r="F92" s="406" t="s">
        <v>531</v>
      </c>
      <c r="G92" s="407"/>
      <c r="H92" s="130">
        <f t="shared" si="14"/>
        <v>35150</v>
      </c>
      <c r="I92" s="130">
        <v>0</v>
      </c>
      <c r="J92" s="130">
        <v>0</v>
      </c>
      <c r="K92" s="130">
        <v>150</v>
      </c>
      <c r="L92" s="43">
        <v>500</v>
      </c>
      <c r="M92" s="130">
        <v>19500</v>
      </c>
      <c r="N92" s="130">
        <v>15000</v>
      </c>
      <c r="O92" s="130">
        <v>0</v>
      </c>
      <c r="P92" s="130">
        <v>0</v>
      </c>
      <c r="Q92" s="364" t="s">
        <v>539</v>
      </c>
    </row>
    <row r="93" spans="1:17" s="349" customFormat="1" ht="34.5" customHeight="1" x14ac:dyDescent="0.25">
      <c r="A93" s="343">
        <v>7</v>
      </c>
      <c r="B93" s="385">
        <v>540</v>
      </c>
      <c r="C93" s="344" t="s">
        <v>613</v>
      </c>
      <c r="D93" s="345">
        <v>4399</v>
      </c>
      <c r="E93" s="345" t="s">
        <v>530</v>
      </c>
      <c r="F93" s="406" t="s">
        <v>531</v>
      </c>
      <c r="G93" s="407"/>
      <c r="H93" s="130">
        <f t="shared" si="14"/>
        <v>15500</v>
      </c>
      <c r="I93" s="130">
        <v>500</v>
      </c>
      <c r="J93" s="130">
        <v>0</v>
      </c>
      <c r="K93" s="130">
        <v>600</v>
      </c>
      <c r="L93" s="43">
        <v>14400</v>
      </c>
      <c r="M93" s="130">
        <v>0</v>
      </c>
      <c r="N93" s="130">
        <v>0</v>
      </c>
      <c r="O93" s="130">
        <v>0</v>
      </c>
      <c r="P93" s="130">
        <v>0</v>
      </c>
      <c r="Q93" s="364" t="s">
        <v>539</v>
      </c>
    </row>
    <row r="94" spans="1:17" s="349" customFormat="1" ht="34.5" customHeight="1" x14ac:dyDescent="0.25">
      <c r="A94" s="343">
        <v>7</v>
      </c>
      <c r="B94" s="385">
        <v>542</v>
      </c>
      <c r="C94" s="344" t="s">
        <v>614</v>
      </c>
      <c r="D94" s="345">
        <v>4401</v>
      </c>
      <c r="E94" s="345" t="s">
        <v>530</v>
      </c>
      <c r="F94" s="406" t="s">
        <v>531</v>
      </c>
      <c r="G94" s="407"/>
      <c r="H94" s="130">
        <f t="shared" si="14"/>
        <v>26000</v>
      </c>
      <c r="I94" s="130">
        <v>0</v>
      </c>
      <c r="J94" s="130">
        <v>0</v>
      </c>
      <c r="K94" s="130">
        <v>1000</v>
      </c>
      <c r="L94" s="43">
        <v>15000</v>
      </c>
      <c r="M94" s="130">
        <v>10000</v>
      </c>
      <c r="N94" s="130">
        <v>0</v>
      </c>
      <c r="O94" s="130">
        <v>0</v>
      </c>
      <c r="P94" s="130">
        <v>0</v>
      </c>
      <c r="Q94" s="364" t="s">
        <v>539</v>
      </c>
    </row>
    <row r="95" spans="1:17" s="349" customFormat="1" ht="34.5" customHeight="1" x14ac:dyDescent="0.25">
      <c r="A95" s="343">
        <v>7</v>
      </c>
      <c r="B95" s="385">
        <v>544</v>
      </c>
      <c r="C95" s="344" t="s">
        <v>824</v>
      </c>
      <c r="D95" s="345">
        <v>4412</v>
      </c>
      <c r="E95" s="345" t="s">
        <v>530</v>
      </c>
      <c r="F95" s="406" t="s">
        <v>531</v>
      </c>
      <c r="G95" s="407"/>
      <c r="H95" s="130">
        <f t="shared" si="14"/>
        <v>31000</v>
      </c>
      <c r="I95" s="130">
        <v>0</v>
      </c>
      <c r="J95" s="130">
        <v>0</v>
      </c>
      <c r="K95" s="130">
        <v>1000</v>
      </c>
      <c r="L95" s="43">
        <v>10000</v>
      </c>
      <c r="M95" s="130">
        <v>10000</v>
      </c>
      <c r="N95" s="130">
        <v>10000</v>
      </c>
      <c r="O95" s="130">
        <v>0</v>
      </c>
      <c r="P95" s="130">
        <v>0</v>
      </c>
      <c r="Q95" s="364" t="s">
        <v>539</v>
      </c>
    </row>
    <row r="96" spans="1:17" s="349" customFormat="1" ht="24" customHeight="1" x14ac:dyDescent="0.25">
      <c r="A96" s="343">
        <v>7</v>
      </c>
      <c r="B96" s="385">
        <v>546</v>
      </c>
      <c r="C96" s="344" t="s">
        <v>615</v>
      </c>
      <c r="D96" s="345">
        <v>4427</v>
      </c>
      <c r="E96" s="345" t="s">
        <v>530</v>
      </c>
      <c r="F96" s="406" t="s">
        <v>531</v>
      </c>
      <c r="G96" s="407"/>
      <c r="H96" s="130">
        <f t="shared" si="14"/>
        <v>9500</v>
      </c>
      <c r="I96" s="130">
        <v>0</v>
      </c>
      <c r="J96" s="130">
        <v>0</v>
      </c>
      <c r="K96" s="130">
        <v>1500</v>
      </c>
      <c r="L96" s="43">
        <v>8000</v>
      </c>
      <c r="M96" s="130">
        <v>0</v>
      </c>
      <c r="N96" s="130">
        <v>0</v>
      </c>
      <c r="O96" s="130">
        <v>0</v>
      </c>
      <c r="P96" s="130">
        <v>0</v>
      </c>
      <c r="Q96" s="364" t="s">
        <v>539</v>
      </c>
    </row>
    <row r="97" spans="1:17" s="349" customFormat="1" ht="24" customHeight="1" x14ac:dyDescent="0.25">
      <c r="A97" s="343">
        <v>7</v>
      </c>
      <c r="B97" s="385">
        <v>548</v>
      </c>
      <c r="C97" s="344" t="s">
        <v>616</v>
      </c>
      <c r="D97" s="345">
        <v>4428</v>
      </c>
      <c r="E97" s="345" t="s">
        <v>530</v>
      </c>
      <c r="F97" s="406" t="s">
        <v>531</v>
      </c>
      <c r="G97" s="407"/>
      <c r="H97" s="130">
        <f t="shared" si="14"/>
        <v>10500</v>
      </c>
      <c r="I97" s="130">
        <v>0</v>
      </c>
      <c r="J97" s="130">
        <v>0</v>
      </c>
      <c r="K97" s="130">
        <v>500</v>
      </c>
      <c r="L97" s="43">
        <v>10000</v>
      </c>
      <c r="M97" s="130">
        <v>0</v>
      </c>
      <c r="N97" s="130">
        <v>0</v>
      </c>
      <c r="O97" s="130">
        <v>0</v>
      </c>
      <c r="P97" s="130">
        <v>0</v>
      </c>
      <c r="Q97" s="364" t="s">
        <v>539</v>
      </c>
    </row>
    <row r="98" spans="1:17" s="349" customFormat="1" ht="34.5" customHeight="1" x14ac:dyDescent="0.25">
      <c r="A98" s="343">
        <v>7</v>
      </c>
      <c r="B98" s="385">
        <v>550</v>
      </c>
      <c r="C98" s="344" t="s">
        <v>617</v>
      </c>
      <c r="D98" s="365">
        <v>5915</v>
      </c>
      <c r="E98" s="345" t="s">
        <v>522</v>
      </c>
      <c r="F98" s="406" t="s">
        <v>531</v>
      </c>
      <c r="G98" s="407"/>
      <c r="H98" s="130">
        <f t="shared" si="14"/>
        <v>4519</v>
      </c>
      <c r="I98" s="130">
        <v>0</v>
      </c>
      <c r="J98" s="130">
        <v>1510.08</v>
      </c>
      <c r="K98" s="130">
        <v>1008.92</v>
      </c>
      <c r="L98" s="43">
        <v>2000</v>
      </c>
      <c r="M98" s="130">
        <v>0</v>
      </c>
      <c r="N98" s="130">
        <v>0</v>
      </c>
      <c r="O98" s="130">
        <v>0</v>
      </c>
      <c r="P98" s="130">
        <v>0</v>
      </c>
      <c r="Q98" s="348" t="s">
        <v>618</v>
      </c>
    </row>
    <row r="99" spans="1:17" s="349" customFormat="1" ht="34.5" customHeight="1" x14ac:dyDescent="0.25">
      <c r="A99" s="343">
        <v>7</v>
      </c>
      <c r="B99" s="385">
        <v>552</v>
      </c>
      <c r="C99" s="344" t="s">
        <v>744</v>
      </c>
      <c r="D99" s="365">
        <v>5837</v>
      </c>
      <c r="E99" s="345" t="s">
        <v>522</v>
      </c>
      <c r="F99" s="346">
        <v>135000</v>
      </c>
      <c r="G99" s="347" t="s">
        <v>619</v>
      </c>
      <c r="H99" s="130">
        <f>I99+J99+K99+L99+M99+N99+O99+P99</f>
        <v>133852.546</v>
      </c>
      <c r="I99" s="130">
        <v>352</v>
      </c>
      <c r="J99" s="130">
        <v>936.54600000000005</v>
      </c>
      <c r="K99" s="130">
        <v>115</v>
      </c>
      <c r="L99" s="43">
        <v>3000</v>
      </c>
      <c r="M99" s="130">
        <v>20500</v>
      </c>
      <c r="N99" s="130">
        <v>108949</v>
      </c>
      <c r="O99" s="130">
        <v>0</v>
      </c>
      <c r="P99" s="130">
        <v>0</v>
      </c>
      <c r="Q99" s="364" t="s">
        <v>539</v>
      </c>
    </row>
    <row r="100" spans="1:17" s="349" customFormat="1" ht="24" customHeight="1" x14ac:dyDescent="0.25">
      <c r="A100" s="343">
        <v>7</v>
      </c>
      <c r="B100" s="385">
        <v>554</v>
      </c>
      <c r="C100" s="344" t="s">
        <v>620</v>
      </c>
      <c r="D100" s="365">
        <v>5879</v>
      </c>
      <c r="E100" s="345" t="s">
        <v>522</v>
      </c>
      <c r="F100" s="346">
        <v>72300</v>
      </c>
      <c r="G100" s="347" t="s">
        <v>621</v>
      </c>
      <c r="H100" s="130">
        <f t="shared" si="14"/>
        <v>65300.2</v>
      </c>
      <c r="I100" s="130">
        <v>0</v>
      </c>
      <c r="J100" s="130">
        <v>878</v>
      </c>
      <c r="K100" s="130">
        <v>6800</v>
      </c>
      <c r="L100" s="43">
        <v>19887.2</v>
      </c>
      <c r="M100" s="130">
        <v>37735</v>
      </c>
      <c r="N100" s="130">
        <v>0</v>
      </c>
      <c r="O100" s="130">
        <v>0</v>
      </c>
      <c r="P100" s="130">
        <v>0</v>
      </c>
      <c r="Q100" s="364" t="s">
        <v>539</v>
      </c>
    </row>
    <row r="101" spans="1:17" s="349" customFormat="1" ht="34.5" customHeight="1" x14ac:dyDescent="0.25">
      <c r="A101" s="343">
        <v>7</v>
      </c>
      <c r="B101" s="385">
        <v>556</v>
      </c>
      <c r="C101" s="344" t="s">
        <v>622</v>
      </c>
      <c r="D101" s="345">
        <v>4276</v>
      </c>
      <c r="E101" s="345" t="s">
        <v>530</v>
      </c>
      <c r="F101" s="406" t="s">
        <v>531</v>
      </c>
      <c r="G101" s="407"/>
      <c r="H101" s="130">
        <f t="shared" si="14"/>
        <v>52500.01</v>
      </c>
      <c r="I101" s="130">
        <v>0</v>
      </c>
      <c r="J101" s="130">
        <v>660.7</v>
      </c>
      <c r="K101" s="130">
        <v>1839.31</v>
      </c>
      <c r="L101" s="43">
        <v>25000</v>
      </c>
      <c r="M101" s="130">
        <v>25000</v>
      </c>
      <c r="N101" s="130">
        <v>0</v>
      </c>
      <c r="O101" s="130">
        <v>0</v>
      </c>
      <c r="P101" s="130">
        <v>0</v>
      </c>
      <c r="Q101" s="364" t="s">
        <v>539</v>
      </c>
    </row>
    <row r="102" spans="1:17" s="349" customFormat="1" ht="24" customHeight="1" x14ac:dyDescent="0.25">
      <c r="A102" s="343">
        <v>7</v>
      </c>
      <c r="B102" s="385">
        <v>558</v>
      </c>
      <c r="C102" s="344" t="s">
        <v>623</v>
      </c>
      <c r="D102" s="345">
        <v>4080</v>
      </c>
      <c r="E102" s="345" t="s">
        <v>530</v>
      </c>
      <c r="F102" s="406" t="s">
        <v>531</v>
      </c>
      <c r="G102" s="407"/>
      <c r="H102" s="130">
        <f t="shared" si="14"/>
        <v>83200</v>
      </c>
      <c r="I102" s="130">
        <v>0</v>
      </c>
      <c r="J102" s="130">
        <v>0</v>
      </c>
      <c r="K102" s="130">
        <v>1200</v>
      </c>
      <c r="L102" s="43">
        <v>2000</v>
      </c>
      <c r="M102" s="130">
        <v>30000</v>
      </c>
      <c r="N102" s="130">
        <v>50000</v>
      </c>
      <c r="O102" s="130">
        <v>0</v>
      </c>
      <c r="P102" s="130">
        <v>0</v>
      </c>
      <c r="Q102" s="364" t="s">
        <v>539</v>
      </c>
    </row>
    <row r="103" spans="1:17" s="349" customFormat="1" ht="34.5" customHeight="1" x14ac:dyDescent="0.25">
      <c r="A103" s="343">
        <v>7</v>
      </c>
      <c r="B103" s="385">
        <v>560</v>
      </c>
      <c r="C103" s="344" t="s">
        <v>825</v>
      </c>
      <c r="D103" s="365">
        <v>4430</v>
      </c>
      <c r="E103" s="345" t="s">
        <v>522</v>
      </c>
      <c r="F103" s="346">
        <v>115500</v>
      </c>
      <c r="G103" s="347" t="s">
        <v>568</v>
      </c>
      <c r="H103" s="130">
        <f t="shared" si="14"/>
        <v>115362</v>
      </c>
      <c r="I103" s="130">
        <v>162</v>
      </c>
      <c r="J103" s="130">
        <v>200</v>
      </c>
      <c r="K103" s="130">
        <v>500</v>
      </c>
      <c r="L103" s="43">
        <v>3500</v>
      </c>
      <c r="M103" s="130">
        <v>30000</v>
      </c>
      <c r="N103" s="130">
        <v>81000</v>
      </c>
      <c r="O103" s="130">
        <v>0</v>
      </c>
      <c r="P103" s="130">
        <v>0</v>
      </c>
      <c r="Q103" s="364" t="s">
        <v>539</v>
      </c>
    </row>
    <row r="104" spans="1:17" s="349" customFormat="1" ht="34.5" customHeight="1" x14ac:dyDescent="0.25">
      <c r="A104" s="343">
        <v>7</v>
      </c>
      <c r="B104" s="385">
        <v>562</v>
      </c>
      <c r="C104" s="344" t="s">
        <v>624</v>
      </c>
      <c r="D104" s="345">
        <v>4431</v>
      </c>
      <c r="E104" s="345" t="s">
        <v>530</v>
      </c>
      <c r="F104" s="406" t="s">
        <v>531</v>
      </c>
      <c r="G104" s="407"/>
      <c r="H104" s="130">
        <f t="shared" si="14"/>
        <v>39669</v>
      </c>
      <c r="I104" s="130">
        <v>669</v>
      </c>
      <c r="J104" s="130">
        <v>0</v>
      </c>
      <c r="K104" s="130">
        <v>150</v>
      </c>
      <c r="L104" s="43">
        <v>38850</v>
      </c>
      <c r="M104" s="130">
        <v>0</v>
      </c>
      <c r="N104" s="130">
        <v>0</v>
      </c>
      <c r="O104" s="130">
        <v>0</v>
      </c>
      <c r="P104" s="130">
        <v>0</v>
      </c>
      <c r="Q104" s="364" t="s">
        <v>539</v>
      </c>
    </row>
    <row r="105" spans="1:17" s="349" customFormat="1" ht="24" customHeight="1" x14ac:dyDescent="0.25">
      <c r="A105" s="343">
        <v>7</v>
      </c>
      <c r="B105" s="385">
        <v>564</v>
      </c>
      <c r="C105" s="344" t="s">
        <v>625</v>
      </c>
      <c r="D105" s="345">
        <v>4435</v>
      </c>
      <c r="E105" s="345" t="s">
        <v>530</v>
      </c>
      <c r="F105" s="406" t="s">
        <v>531</v>
      </c>
      <c r="G105" s="407"/>
      <c r="H105" s="130">
        <f t="shared" si="14"/>
        <v>20100</v>
      </c>
      <c r="I105" s="130">
        <v>0</v>
      </c>
      <c r="J105" s="130">
        <v>0</v>
      </c>
      <c r="K105" s="130">
        <v>600</v>
      </c>
      <c r="L105" s="43">
        <v>2000</v>
      </c>
      <c r="M105" s="130">
        <v>17500</v>
      </c>
      <c r="N105" s="130">
        <v>0</v>
      </c>
      <c r="O105" s="130">
        <v>0</v>
      </c>
      <c r="P105" s="130">
        <v>0</v>
      </c>
      <c r="Q105" s="364" t="s">
        <v>539</v>
      </c>
    </row>
    <row r="106" spans="1:17" s="349" customFormat="1" ht="24" customHeight="1" x14ac:dyDescent="0.25">
      <c r="A106" s="343">
        <v>7</v>
      </c>
      <c r="B106" s="385">
        <v>566</v>
      </c>
      <c r="C106" s="344" t="s">
        <v>626</v>
      </c>
      <c r="D106" s="345">
        <v>4437</v>
      </c>
      <c r="E106" s="345" t="s">
        <v>530</v>
      </c>
      <c r="F106" s="406" t="s">
        <v>531</v>
      </c>
      <c r="G106" s="407"/>
      <c r="H106" s="130">
        <f t="shared" si="14"/>
        <v>15060</v>
      </c>
      <c r="I106" s="130">
        <v>60</v>
      </c>
      <c r="J106" s="130">
        <v>0</v>
      </c>
      <c r="K106" s="130">
        <v>1000</v>
      </c>
      <c r="L106" s="43">
        <v>14000</v>
      </c>
      <c r="M106" s="130">
        <v>0</v>
      </c>
      <c r="N106" s="130">
        <v>0</v>
      </c>
      <c r="O106" s="130">
        <v>0</v>
      </c>
      <c r="P106" s="130">
        <v>0</v>
      </c>
      <c r="Q106" s="364" t="s">
        <v>539</v>
      </c>
    </row>
    <row r="107" spans="1:17" s="349" customFormat="1" ht="24" customHeight="1" x14ac:dyDescent="0.25">
      <c r="A107" s="343">
        <v>7</v>
      </c>
      <c r="B107" s="385">
        <v>568</v>
      </c>
      <c r="C107" s="344" t="s">
        <v>627</v>
      </c>
      <c r="D107" s="345">
        <v>4438</v>
      </c>
      <c r="E107" s="345" t="s">
        <v>530</v>
      </c>
      <c r="F107" s="406" t="s">
        <v>531</v>
      </c>
      <c r="G107" s="407"/>
      <c r="H107" s="130">
        <f t="shared" si="14"/>
        <v>30000</v>
      </c>
      <c r="I107" s="130">
        <v>0</v>
      </c>
      <c r="J107" s="130">
        <v>0</v>
      </c>
      <c r="K107" s="130">
        <v>200</v>
      </c>
      <c r="L107" s="43">
        <v>10600</v>
      </c>
      <c r="M107" s="130">
        <v>19200</v>
      </c>
      <c r="N107" s="130">
        <v>0</v>
      </c>
      <c r="O107" s="130">
        <v>0</v>
      </c>
      <c r="P107" s="130">
        <v>0</v>
      </c>
      <c r="Q107" s="364" t="s">
        <v>539</v>
      </c>
    </row>
    <row r="108" spans="1:17" s="349" customFormat="1" ht="34.5" customHeight="1" x14ac:dyDescent="0.25">
      <c r="A108" s="343">
        <v>7</v>
      </c>
      <c r="B108" s="385">
        <v>570</v>
      </c>
      <c r="C108" s="344" t="s">
        <v>628</v>
      </c>
      <c r="D108" s="365">
        <v>4439</v>
      </c>
      <c r="E108" s="345" t="s">
        <v>522</v>
      </c>
      <c r="F108" s="346">
        <v>55500</v>
      </c>
      <c r="G108" s="347" t="s">
        <v>545</v>
      </c>
      <c r="H108" s="130">
        <f t="shared" si="14"/>
        <v>55500</v>
      </c>
      <c r="I108" s="130">
        <v>0</v>
      </c>
      <c r="J108" s="130">
        <v>109</v>
      </c>
      <c r="K108" s="130">
        <v>550</v>
      </c>
      <c r="L108" s="43">
        <v>1450</v>
      </c>
      <c r="M108" s="130">
        <v>35000</v>
      </c>
      <c r="N108" s="130">
        <v>18391</v>
      </c>
      <c r="O108" s="130">
        <v>0</v>
      </c>
      <c r="P108" s="130">
        <v>0</v>
      </c>
      <c r="Q108" s="364" t="s">
        <v>539</v>
      </c>
    </row>
    <row r="109" spans="1:17" s="349" customFormat="1" ht="24" customHeight="1" x14ac:dyDescent="0.25">
      <c r="A109" s="343">
        <v>7</v>
      </c>
      <c r="B109" s="385">
        <v>572</v>
      </c>
      <c r="C109" s="344" t="s">
        <v>629</v>
      </c>
      <c r="D109" s="345">
        <v>4440</v>
      </c>
      <c r="E109" s="345" t="s">
        <v>530</v>
      </c>
      <c r="F109" s="406" t="s">
        <v>531</v>
      </c>
      <c r="G109" s="407"/>
      <c r="H109" s="130">
        <f t="shared" si="14"/>
        <v>30085</v>
      </c>
      <c r="I109" s="130">
        <v>85</v>
      </c>
      <c r="J109" s="130">
        <v>0</v>
      </c>
      <c r="K109" s="130">
        <v>1000</v>
      </c>
      <c r="L109" s="43">
        <v>19000</v>
      </c>
      <c r="M109" s="130">
        <v>10000</v>
      </c>
      <c r="N109" s="130">
        <v>0</v>
      </c>
      <c r="O109" s="130">
        <v>0</v>
      </c>
      <c r="P109" s="130">
        <v>0</v>
      </c>
      <c r="Q109" s="364" t="s">
        <v>539</v>
      </c>
    </row>
    <row r="110" spans="1:17" s="349" customFormat="1" ht="24" customHeight="1" x14ac:dyDescent="0.25">
      <c r="A110" s="343">
        <v>7</v>
      </c>
      <c r="B110" s="385">
        <v>574</v>
      </c>
      <c r="C110" s="344" t="s">
        <v>630</v>
      </c>
      <c r="D110" s="345">
        <v>4359</v>
      </c>
      <c r="E110" s="345" t="s">
        <v>530</v>
      </c>
      <c r="F110" s="406" t="s">
        <v>531</v>
      </c>
      <c r="G110" s="407"/>
      <c r="H110" s="130">
        <f t="shared" si="14"/>
        <v>2500</v>
      </c>
      <c r="I110" s="130">
        <v>0</v>
      </c>
      <c r="J110" s="130">
        <v>0</v>
      </c>
      <c r="K110" s="130">
        <v>500</v>
      </c>
      <c r="L110" s="43">
        <v>2000</v>
      </c>
      <c r="M110" s="130">
        <v>0</v>
      </c>
      <c r="N110" s="130">
        <v>0</v>
      </c>
      <c r="O110" s="130">
        <v>0</v>
      </c>
      <c r="P110" s="130">
        <v>0</v>
      </c>
      <c r="Q110" s="364" t="s">
        <v>539</v>
      </c>
    </row>
    <row r="111" spans="1:17" s="349" customFormat="1" ht="24" customHeight="1" x14ac:dyDescent="0.25">
      <c r="A111" s="343">
        <v>7</v>
      </c>
      <c r="B111" s="385">
        <v>576</v>
      </c>
      <c r="C111" s="344" t="s">
        <v>631</v>
      </c>
      <c r="D111" s="345">
        <v>4330</v>
      </c>
      <c r="E111" s="345" t="s">
        <v>530</v>
      </c>
      <c r="F111" s="406" t="s">
        <v>531</v>
      </c>
      <c r="G111" s="407"/>
      <c r="H111" s="130">
        <f t="shared" si="14"/>
        <v>9500.01</v>
      </c>
      <c r="I111" s="130">
        <v>0</v>
      </c>
      <c r="J111" s="130">
        <v>112.35</v>
      </c>
      <c r="K111" s="130">
        <v>387.66</v>
      </c>
      <c r="L111" s="43">
        <v>9000</v>
      </c>
      <c r="M111" s="130">
        <v>0</v>
      </c>
      <c r="N111" s="130">
        <v>0</v>
      </c>
      <c r="O111" s="130">
        <v>0</v>
      </c>
      <c r="P111" s="130">
        <v>0</v>
      </c>
      <c r="Q111" s="364" t="s">
        <v>539</v>
      </c>
    </row>
    <row r="112" spans="1:17" s="349" customFormat="1" ht="31.5" x14ac:dyDescent="0.25">
      <c r="A112" s="343">
        <v>7</v>
      </c>
      <c r="B112" s="385">
        <v>578</v>
      </c>
      <c r="C112" s="344" t="s">
        <v>632</v>
      </c>
      <c r="D112" s="345">
        <v>4031</v>
      </c>
      <c r="E112" s="345" t="s">
        <v>530</v>
      </c>
      <c r="F112" s="406" t="s">
        <v>531</v>
      </c>
      <c r="G112" s="407"/>
      <c r="H112" s="130">
        <f t="shared" si="14"/>
        <v>1500</v>
      </c>
      <c r="I112" s="130">
        <v>0</v>
      </c>
      <c r="J112" s="130">
        <v>76.5</v>
      </c>
      <c r="K112" s="130">
        <v>423.5</v>
      </c>
      <c r="L112" s="43">
        <v>1000</v>
      </c>
      <c r="M112" s="130">
        <v>0</v>
      </c>
      <c r="N112" s="130">
        <v>0</v>
      </c>
      <c r="O112" s="130">
        <v>0</v>
      </c>
      <c r="P112" s="130">
        <v>0</v>
      </c>
      <c r="Q112" s="364" t="s">
        <v>539</v>
      </c>
    </row>
    <row r="113" spans="1:17" s="349" customFormat="1" ht="24" customHeight="1" x14ac:dyDescent="0.25">
      <c r="A113" s="343">
        <v>7</v>
      </c>
      <c r="B113" s="385">
        <v>580</v>
      </c>
      <c r="C113" s="344" t="s">
        <v>633</v>
      </c>
      <c r="D113" s="345">
        <v>4261</v>
      </c>
      <c r="E113" s="345" t="s">
        <v>530</v>
      </c>
      <c r="F113" s="406" t="s">
        <v>531</v>
      </c>
      <c r="G113" s="407"/>
      <c r="H113" s="130">
        <f t="shared" si="14"/>
        <v>24323.85</v>
      </c>
      <c r="I113" s="130">
        <v>223.85</v>
      </c>
      <c r="J113" s="130">
        <v>84.7</v>
      </c>
      <c r="K113" s="130">
        <v>5015.3</v>
      </c>
      <c r="L113" s="43">
        <v>19000</v>
      </c>
      <c r="M113" s="130">
        <v>0</v>
      </c>
      <c r="N113" s="130">
        <v>0</v>
      </c>
      <c r="O113" s="130">
        <v>0</v>
      </c>
      <c r="P113" s="130">
        <v>0</v>
      </c>
      <c r="Q113" s="364" t="s">
        <v>539</v>
      </c>
    </row>
    <row r="114" spans="1:17" s="349" customFormat="1" ht="34.5" customHeight="1" x14ac:dyDescent="0.25">
      <c r="A114" s="343">
        <v>7</v>
      </c>
      <c r="B114" s="385">
        <v>582</v>
      </c>
      <c r="C114" s="344" t="s">
        <v>634</v>
      </c>
      <c r="D114" s="345">
        <v>4267</v>
      </c>
      <c r="E114" s="345" t="s">
        <v>530</v>
      </c>
      <c r="F114" s="406" t="s">
        <v>531</v>
      </c>
      <c r="G114" s="407"/>
      <c r="H114" s="130">
        <f t="shared" si="14"/>
        <v>18921.009999999998</v>
      </c>
      <c r="I114" s="130">
        <v>121</v>
      </c>
      <c r="J114" s="130">
        <v>208.45</v>
      </c>
      <c r="K114" s="130">
        <v>991.56</v>
      </c>
      <c r="L114" s="43">
        <v>17600</v>
      </c>
      <c r="M114" s="130">
        <v>0</v>
      </c>
      <c r="N114" s="130">
        <v>0</v>
      </c>
      <c r="O114" s="130">
        <v>0</v>
      </c>
      <c r="P114" s="130">
        <v>0</v>
      </c>
      <c r="Q114" s="364" t="s">
        <v>539</v>
      </c>
    </row>
    <row r="115" spans="1:17" s="349" customFormat="1" ht="24" customHeight="1" x14ac:dyDescent="0.25">
      <c r="A115" s="343">
        <v>7</v>
      </c>
      <c r="B115" s="385">
        <v>584</v>
      </c>
      <c r="C115" s="344" t="s">
        <v>635</v>
      </c>
      <c r="D115" s="345">
        <v>4308</v>
      </c>
      <c r="E115" s="345" t="s">
        <v>530</v>
      </c>
      <c r="F115" s="406" t="s">
        <v>531</v>
      </c>
      <c r="G115" s="407"/>
      <c r="H115" s="130">
        <f t="shared" si="14"/>
        <v>13500.01</v>
      </c>
      <c r="I115" s="130">
        <v>0</v>
      </c>
      <c r="J115" s="130">
        <v>72.239999999999995</v>
      </c>
      <c r="K115" s="130">
        <v>427.77</v>
      </c>
      <c r="L115" s="43">
        <v>13000</v>
      </c>
      <c r="M115" s="130">
        <v>0</v>
      </c>
      <c r="N115" s="130">
        <v>0</v>
      </c>
      <c r="O115" s="130">
        <v>0</v>
      </c>
      <c r="P115" s="130">
        <v>0</v>
      </c>
      <c r="Q115" s="364" t="s">
        <v>539</v>
      </c>
    </row>
    <row r="116" spans="1:17" s="349" customFormat="1" ht="33.75" customHeight="1" x14ac:dyDescent="0.25">
      <c r="A116" s="343">
        <v>7</v>
      </c>
      <c r="B116" s="385">
        <v>586</v>
      </c>
      <c r="C116" s="344" t="s">
        <v>636</v>
      </c>
      <c r="D116" s="345">
        <v>4169</v>
      </c>
      <c r="E116" s="345" t="s">
        <v>530</v>
      </c>
      <c r="F116" s="406" t="s">
        <v>531</v>
      </c>
      <c r="G116" s="407"/>
      <c r="H116" s="130">
        <f t="shared" si="14"/>
        <v>4000.25</v>
      </c>
      <c r="I116" s="130">
        <v>0</v>
      </c>
      <c r="J116" s="130">
        <v>30.25</v>
      </c>
      <c r="K116" s="130">
        <v>0</v>
      </c>
      <c r="L116" s="43">
        <v>3970</v>
      </c>
      <c r="M116" s="130">
        <v>0</v>
      </c>
      <c r="N116" s="130">
        <v>0</v>
      </c>
      <c r="O116" s="130">
        <v>0</v>
      </c>
      <c r="P116" s="130">
        <v>0</v>
      </c>
      <c r="Q116" s="364" t="s">
        <v>539</v>
      </c>
    </row>
    <row r="117" spans="1:17" s="349" customFormat="1" ht="33.75" customHeight="1" x14ac:dyDescent="0.25">
      <c r="A117" s="343">
        <v>7</v>
      </c>
      <c r="B117" s="385">
        <v>588</v>
      </c>
      <c r="C117" s="344" t="s">
        <v>637</v>
      </c>
      <c r="D117" s="345">
        <v>4364</v>
      </c>
      <c r="E117" s="345" t="s">
        <v>530</v>
      </c>
      <c r="F117" s="406" t="s">
        <v>531</v>
      </c>
      <c r="G117" s="407"/>
      <c r="H117" s="130">
        <f t="shared" si="14"/>
        <v>6800</v>
      </c>
      <c r="I117" s="130">
        <v>500</v>
      </c>
      <c r="J117" s="130">
        <v>0</v>
      </c>
      <c r="K117" s="130">
        <v>700</v>
      </c>
      <c r="L117" s="43">
        <v>5600</v>
      </c>
      <c r="M117" s="130">
        <v>0</v>
      </c>
      <c r="N117" s="130">
        <v>0</v>
      </c>
      <c r="O117" s="130">
        <v>0</v>
      </c>
      <c r="P117" s="130">
        <v>0</v>
      </c>
      <c r="Q117" s="364" t="s">
        <v>539</v>
      </c>
    </row>
    <row r="118" spans="1:17" s="349" customFormat="1" ht="33.75" customHeight="1" x14ac:dyDescent="0.25">
      <c r="A118" s="343">
        <v>7</v>
      </c>
      <c r="B118" s="385">
        <v>590</v>
      </c>
      <c r="C118" s="344" t="s">
        <v>638</v>
      </c>
      <c r="D118" s="345">
        <v>4455</v>
      </c>
      <c r="E118" s="345" t="s">
        <v>530</v>
      </c>
      <c r="F118" s="406" t="s">
        <v>531</v>
      </c>
      <c r="G118" s="407"/>
      <c r="H118" s="130">
        <f t="shared" si="14"/>
        <v>8800</v>
      </c>
      <c r="I118" s="130">
        <v>0</v>
      </c>
      <c r="J118" s="130">
        <v>0</v>
      </c>
      <c r="K118" s="130">
        <v>800</v>
      </c>
      <c r="L118" s="43">
        <v>8000</v>
      </c>
      <c r="M118" s="130">
        <v>0</v>
      </c>
      <c r="N118" s="130">
        <v>0</v>
      </c>
      <c r="O118" s="130">
        <v>0</v>
      </c>
      <c r="P118" s="130">
        <v>0</v>
      </c>
      <c r="Q118" s="364" t="s">
        <v>539</v>
      </c>
    </row>
    <row r="119" spans="1:17" s="349" customFormat="1" ht="33.75" customHeight="1" x14ac:dyDescent="0.25">
      <c r="A119" s="343">
        <v>7</v>
      </c>
      <c r="B119" s="385">
        <v>592</v>
      </c>
      <c r="C119" s="344" t="s">
        <v>639</v>
      </c>
      <c r="D119" s="345">
        <v>4457</v>
      </c>
      <c r="E119" s="345" t="s">
        <v>530</v>
      </c>
      <c r="F119" s="406" t="s">
        <v>531</v>
      </c>
      <c r="G119" s="407"/>
      <c r="H119" s="130">
        <f t="shared" si="14"/>
        <v>3700</v>
      </c>
      <c r="I119" s="130">
        <v>0</v>
      </c>
      <c r="J119" s="130">
        <v>0</v>
      </c>
      <c r="K119" s="130">
        <v>500</v>
      </c>
      <c r="L119" s="43">
        <v>3200</v>
      </c>
      <c r="M119" s="130">
        <v>0</v>
      </c>
      <c r="N119" s="130">
        <v>0</v>
      </c>
      <c r="O119" s="130">
        <v>0</v>
      </c>
      <c r="P119" s="130">
        <v>0</v>
      </c>
      <c r="Q119" s="364" t="s">
        <v>539</v>
      </c>
    </row>
    <row r="120" spans="1:17" s="349" customFormat="1" ht="31.5" x14ac:dyDescent="0.25">
      <c r="A120" s="343">
        <v>7</v>
      </c>
      <c r="B120" s="385">
        <v>594</v>
      </c>
      <c r="C120" s="344" t="s">
        <v>640</v>
      </c>
      <c r="D120" s="345">
        <v>4458</v>
      </c>
      <c r="E120" s="345" t="s">
        <v>530</v>
      </c>
      <c r="F120" s="406" t="s">
        <v>531</v>
      </c>
      <c r="G120" s="407"/>
      <c r="H120" s="130">
        <f t="shared" si="14"/>
        <v>3000</v>
      </c>
      <c r="I120" s="130">
        <v>0</v>
      </c>
      <c r="J120" s="130">
        <v>0</v>
      </c>
      <c r="K120" s="130">
        <v>0</v>
      </c>
      <c r="L120" s="43">
        <v>3000</v>
      </c>
      <c r="M120" s="130">
        <v>0</v>
      </c>
      <c r="N120" s="130">
        <v>0</v>
      </c>
      <c r="O120" s="130">
        <v>0</v>
      </c>
      <c r="P120" s="130">
        <v>0</v>
      </c>
      <c r="Q120" s="364" t="s">
        <v>539</v>
      </c>
    </row>
    <row r="121" spans="1:17" s="349" customFormat="1" ht="33.75" customHeight="1" x14ac:dyDescent="0.25">
      <c r="A121" s="343">
        <v>7</v>
      </c>
      <c r="B121" s="385">
        <v>596</v>
      </c>
      <c r="C121" s="344" t="s">
        <v>641</v>
      </c>
      <c r="D121" s="345">
        <v>4460</v>
      </c>
      <c r="E121" s="345" t="s">
        <v>530</v>
      </c>
      <c r="F121" s="406" t="s">
        <v>531</v>
      </c>
      <c r="G121" s="407"/>
      <c r="H121" s="130">
        <f t="shared" si="14"/>
        <v>4000</v>
      </c>
      <c r="I121" s="130">
        <v>0</v>
      </c>
      <c r="J121" s="130">
        <v>0</v>
      </c>
      <c r="K121" s="130">
        <v>500</v>
      </c>
      <c r="L121" s="43">
        <v>3500</v>
      </c>
      <c r="M121" s="130">
        <v>0</v>
      </c>
      <c r="N121" s="130">
        <v>0</v>
      </c>
      <c r="O121" s="130">
        <v>0</v>
      </c>
      <c r="P121" s="130">
        <v>0</v>
      </c>
      <c r="Q121" s="364" t="s">
        <v>539</v>
      </c>
    </row>
    <row r="122" spans="1:17" s="349" customFormat="1" ht="24" customHeight="1" x14ac:dyDescent="0.25">
      <c r="A122" s="343">
        <v>7</v>
      </c>
      <c r="B122" s="385">
        <v>598</v>
      </c>
      <c r="C122" s="344" t="s">
        <v>745</v>
      </c>
      <c r="D122" s="345">
        <v>4462</v>
      </c>
      <c r="E122" s="345" t="s">
        <v>530</v>
      </c>
      <c r="F122" s="406" t="s">
        <v>531</v>
      </c>
      <c r="G122" s="407"/>
      <c r="H122" s="130">
        <f t="shared" si="14"/>
        <v>5100</v>
      </c>
      <c r="I122" s="130">
        <v>0</v>
      </c>
      <c r="J122" s="130">
        <v>0</v>
      </c>
      <c r="K122" s="130">
        <v>450</v>
      </c>
      <c r="L122" s="43">
        <v>4650</v>
      </c>
      <c r="M122" s="130">
        <v>0</v>
      </c>
      <c r="N122" s="130">
        <v>0</v>
      </c>
      <c r="O122" s="130">
        <v>0</v>
      </c>
      <c r="P122" s="130">
        <v>0</v>
      </c>
      <c r="Q122" s="364" t="s">
        <v>539</v>
      </c>
    </row>
    <row r="123" spans="1:17" s="349" customFormat="1" ht="31.5" x14ac:dyDescent="0.25">
      <c r="A123" s="343">
        <v>7</v>
      </c>
      <c r="B123" s="385">
        <v>600</v>
      </c>
      <c r="C123" s="344" t="s">
        <v>642</v>
      </c>
      <c r="D123" s="345">
        <v>4463</v>
      </c>
      <c r="E123" s="345" t="s">
        <v>530</v>
      </c>
      <c r="F123" s="406" t="s">
        <v>531</v>
      </c>
      <c r="G123" s="407"/>
      <c r="H123" s="130">
        <f t="shared" si="14"/>
        <v>3000</v>
      </c>
      <c r="I123" s="130">
        <v>0</v>
      </c>
      <c r="J123" s="130">
        <v>0</v>
      </c>
      <c r="K123" s="130">
        <v>500</v>
      </c>
      <c r="L123" s="43">
        <v>2500</v>
      </c>
      <c r="M123" s="130">
        <v>0</v>
      </c>
      <c r="N123" s="130">
        <v>0</v>
      </c>
      <c r="O123" s="130">
        <v>0</v>
      </c>
      <c r="P123" s="130">
        <v>0</v>
      </c>
      <c r="Q123" s="364" t="s">
        <v>539</v>
      </c>
    </row>
    <row r="124" spans="1:17" s="349" customFormat="1" ht="33.75" customHeight="1" x14ac:dyDescent="0.25">
      <c r="A124" s="343">
        <v>7</v>
      </c>
      <c r="B124" s="385">
        <v>602</v>
      </c>
      <c r="C124" s="344" t="s">
        <v>643</v>
      </c>
      <c r="D124" s="345">
        <v>4504</v>
      </c>
      <c r="E124" s="345" t="s">
        <v>530</v>
      </c>
      <c r="F124" s="406" t="s">
        <v>531</v>
      </c>
      <c r="G124" s="407"/>
      <c r="H124" s="130">
        <f t="shared" si="14"/>
        <v>3000</v>
      </c>
      <c r="I124" s="130">
        <v>1000</v>
      </c>
      <c r="J124" s="130">
        <v>0</v>
      </c>
      <c r="K124" s="130">
        <v>500</v>
      </c>
      <c r="L124" s="43">
        <v>1500</v>
      </c>
      <c r="M124" s="130">
        <v>0</v>
      </c>
      <c r="N124" s="130">
        <v>0</v>
      </c>
      <c r="O124" s="130">
        <v>0</v>
      </c>
      <c r="P124" s="130">
        <v>0</v>
      </c>
      <c r="Q124" s="364" t="s">
        <v>539</v>
      </c>
    </row>
    <row r="125" spans="1:17" s="349" customFormat="1" ht="24" customHeight="1" x14ac:dyDescent="0.25">
      <c r="A125" s="343">
        <v>7</v>
      </c>
      <c r="B125" s="385">
        <v>604</v>
      </c>
      <c r="C125" s="344" t="s">
        <v>644</v>
      </c>
      <c r="D125" s="345">
        <v>4506</v>
      </c>
      <c r="E125" s="345" t="s">
        <v>530</v>
      </c>
      <c r="F125" s="406" t="s">
        <v>531</v>
      </c>
      <c r="G125" s="407"/>
      <c r="H125" s="130">
        <f t="shared" si="14"/>
        <v>14000</v>
      </c>
      <c r="I125" s="130">
        <v>0</v>
      </c>
      <c r="J125" s="130">
        <v>0</v>
      </c>
      <c r="K125" s="130">
        <v>5000</v>
      </c>
      <c r="L125" s="43">
        <v>9000</v>
      </c>
      <c r="M125" s="130">
        <v>0</v>
      </c>
      <c r="N125" s="130">
        <v>0</v>
      </c>
      <c r="O125" s="130">
        <v>0</v>
      </c>
      <c r="P125" s="130">
        <v>0</v>
      </c>
      <c r="Q125" s="364" t="s">
        <v>539</v>
      </c>
    </row>
    <row r="126" spans="1:17" s="349" customFormat="1" ht="24" customHeight="1" x14ac:dyDescent="0.25">
      <c r="A126" s="343">
        <v>7</v>
      </c>
      <c r="B126" s="385">
        <v>606</v>
      </c>
      <c r="C126" s="344" t="s">
        <v>645</v>
      </c>
      <c r="D126" s="345">
        <v>4509</v>
      </c>
      <c r="E126" s="345" t="s">
        <v>530</v>
      </c>
      <c r="F126" s="406" t="s">
        <v>531</v>
      </c>
      <c r="G126" s="407"/>
      <c r="H126" s="130">
        <f t="shared" si="14"/>
        <v>4500</v>
      </c>
      <c r="I126" s="130">
        <v>0</v>
      </c>
      <c r="J126" s="130">
        <v>0</v>
      </c>
      <c r="K126" s="130">
        <v>400</v>
      </c>
      <c r="L126" s="43">
        <v>4100</v>
      </c>
      <c r="M126" s="130">
        <v>0</v>
      </c>
      <c r="N126" s="130">
        <v>0</v>
      </c>
      <c r="O126" s="130">
        <v>0</v>
      </c>
      <c r="P126" s="130">
        <v>0</v>
      </c>
      <c r="Q126" s="364" t="s">
        <v>539</v>
      </c>
    </row>
    <row r="127" spans="1:17" s="349" customFormat="1" ht="31.5" x14ac:dyDescent="0.25">
      <c r="A127" s="343">
        <v>7</v>
      </c>
      <c r="B127" s="385">
        <v>608</v>
      </c>
      <c r="C127" s="344" t="s">
        <v>646</v>
      </c>
      <c r="D127" s="345">
        <v>4510</v>
      </c>
      <c r="E127" s="345" t="s">
        <v>530</v>
      </c>
      <c r="F127" s="406" t="s">
        <v>531</v>
      </c>
      <c r="G127" s="407"/>
      <c r="H127" s="130">
        <f t="shared" si="14"/>
        <v>9100</v>
      </c>
      <c r="I127" s="130">
        <v>0</v>
      </c>
      <c r="J127" s="130">
        <v>0</v>
      </c>
      <c r="K127" s="130">
        <v>320</v>
      </c>
      <c r="L127" s="43">
        <v>1000</v>
      </c>
      <c r="M127" s="130">
        <v>7780</v>
      </c>
      <c r="N127" s="130">
        <v>0</v>
      </c>
      <c r="O127" s="130">
        <v>0</v>
      </c>
      <c r="P127" s="130">
        <v>0</v>
      </c>
      <c r="Q127" s="364" t="s">
        <v>539</v>
      </c>
    </row>
    <row r="128" spans="1:17" s="349" customFormat="1" ht="33.75" customHeight="1" x14ac:dyDescent="0.25">
      <c r="A128" s="343">
        <v>7</v>
      </c>
      <c r="B128" s="385">
        <v>610</v>
      </c>
      <c r="C128" s="344" t="s">
        <v>647</v>
      </c>
      <c r="D128" s="345">
        <v>4511</v>
      </c>
      <c r="E128" s="345" t="s">
        <v>530</v>
      </c>
      <c r="F128" s="406" t="s">
        <v>531</v>
      </c>
      <c r="G128" s="407"/>
      <c r="H128" s="130">
        <f t="shared" si="14"/>
        <v>22059</v>
      </c>
      <c r="I128" s="130">
        <v>59</v>
      </c>
      <c r="J128" s="130">
        <v>0</v>
      </c>
      <c r="K128" s="130">
        <v>1800</v>
      </c>
      <c r="L128" s="43">
        <v>10000</v>
      </c>
      <c r="M128" s="130">
        <v>10200</v>
      </c>
      <c r="N128" s="130">
        <v>0</v>
      </c>
      <c r="O128" s="130">
        <v>0</v>
      </c>
      <c r="P128" s="130">
        <v>0</v>
      </c>
      <c r="Q128" s="364" t="s">
        <v>539</v>
      </c>
    </row>
    <row r="129" spans="1:17" s="349" customFormat="1" ht="33.75" customHeight="1" x14ac:dyDescent="0.25">
      <c r="A129" s="343">
        <v>7</v>
      </c>
      <c r="B129" s="385">
        <v>612</v>
      </c>
      <c r="C129" s="344" t="s">
        <v>648</v>
      </c>
      <c r="D129" s="345">
        <v>4512</v>
      </c>
      <c r="E129" s="345" t="s">
        <v>530</v>
      </c>
      <c r="F129" s="406" t="s">
        <v>531</v>
      </c>
      <c r="G129" s="407"/>
      <c r="H129" s="130">
        <f t="shared" si="14"/>
        <v>6000</v>
      </c>
      <c r="I129" s="130">
        <v>0</v>
      </c>
      <c r="J129" s="130">
        <v>0</v>
      </c>
      <c r="K129" s="130">
        <v>500</v>
      </c>
      <c r="L129" s="43">
        <v>5500</v>
      </c>
      <c r="M129" s="130">
        <v>0</v>
      </c>
      <c r="N129" s="130">
        <v>0</v>
      </c>
      <c r="O129" s="130">
        <v>0</v>
      </c>
      <c r="P129" s="130">
        <v>0</v>
      </c>
      <c r="Q129" s="364" t="s">
        <v>539</v>
      </c>
    </row>
    <row r="130" spans="1:17" s="349" customFormat="1" ht="24" customHeight="1" x14ac:dyDescent="0.25">
      <c r="A130" s="343">
        <v>7</v>
      </c>
      <c r="B130" s="385">
        <v>614</v>
      </c>
      <c r="C130" s="344" t="s">
        <v>649</v>
      </c>
      <c r="D130" s="365">
        <v>4151</v>
      </c>
      <c r="E130" s="345" t="s">
        <v>522</v>
      </c>
      <c r="F130" s="346">
        <v>61000</v>
      </c>
      <c r="G130" s="347" t="s">
        <v>650</v>
      </c>
      <c r="H130" s="130">
        <f t="shared" si="14"/>
        <v>53680.020000000004</v>
      </c>
      <c r="I130" s="130">
        <v>60.019999999999996</v>
      </c>
      <c r="J130" s="130">
        <v>1520</v>
      </c>
      <c r="K130" s="130">
        <v>215</v>
      </c>
      <c r="L130" s="43">
        <v>15000</v>
      </c>
      <c r="M130" s="130">
        <v>36885</v>
      </c>
      <c r="N130" s="130">
        <v>0</v>
      </c>
      <c r="O130" s="130">
        <v>0</v>
      </c>
      <c r="P130" s="130">
        <v>0</v>
      </c>
      <c r="Q130" s="364" t="s">
        <v>539</v>
      </c>
    </row>
    <row r="131" spans="1:17" s="349" customFormat="1" ht="24" customHeight="1" x14ac:dyDescent="0.25">
      <c r="A131" s="343">
        <v>7</v>
      </c>
      <c r="B131" s="385">
        <v>616</v>
      </c>
      <c r="C131" s="344" t="s">
        <v>651</v>
      </c>
      <c r="D131" s="345">
        <v>4518</v>
      </c>
      <c r="E131" s="345" t="s">
        <v>530</v>
      </c>
      <c r="F131" s="406" t="s">
        <v>531</v>
      </c>
      <c r="G131" s="407"/>
      <c r="H131" s="130">
        <f t="shared" si="14"/>
        <v>3000</v>
      </c>
      <c r="I131" s="130">
        <v>0</v>
      </c>
      <c r="J131" s="130">
        <v>0</v>
      </c>
      <c r="K131" s="130">
        <v>1000</v>
      </c>
      <c r="L131" s="43">
        <v>2000</v>
      </c>
      <c r="M131" s="130">
        <v>0</v>
      </c>
      <c r="N131" s="130">
        <v>0</v>
      </c>
      <c r="O131" s="130">
        <v>0</v>
      </c>
      <c r="P131" s="130">
        <v>0</v>
      </c>
      <c r="Q131" s="364" t="s">
        <v>539</v>
      </c>
    </row>
    <row r="132" spans="1:17" s="349" customFormat="1" ht="24" customHeight="1" x14ac:dyDescent="0.25">
      <c r="A132" s="343">
        <v>7</v>
      </c>
      <c r="B132" s="385">
        <v>618</v>
      </c>
      <c r="C132" s="344" t="s">
        <v>652</v>
      </c>
      <c r="D132" s="345">
        <v>4519</v>
      </c>
      <c r="E132" s="345" t="s">
        <v>530</v>
      </c>
      <c r="F132" s="406" t="s">
        <v>531</v>
      </c>
      <c r="G132" s="407"/>
      <c r="H132" s="130">
        <f t="shared" si="14"/>
        <v>9000</v>
      </c>
      <c r="I132" s="130">
        <v>0</v>
      </c>
      <c r="J132" s="130">
        <v>0</v>
      </c>
      <c r="K132" s="130">
        <v>700</v>
      </c>
      <c r="L132" s="43">
        <v>8300</v>
      </c>
      <c r="M132" s="130">
        <v>0</v>
      </c>
      <c r="N132" s="130">
        <v>0</v>
      </c>
      <c r="O132" s="130">
        <v>0</v>
      </c>
      <c r="P132" s="130">
        <v>0</v>
      </c>
      <c r="Q132" s="364" t="s">
        <v>539</v>
      </c>
    </row>
    <row r="133" spans="1:17" s="349" customFormat="1" ht="34.5" customHeight="1" x14ac:dyDescent="0.25">
      <c r="A133" s="343">
        <v>7</v>
      </c>
      <c r="B133" s="385">
        <v>620</v>
      </c>
      <c r="C133" s="344" t="s">
        <v>653</v>
      </c>
      <c r="D133" s="365">
        <v>4536</v>
      </c>
      <c r="E133" s="345" t="s">
        <v>654</v>
      </c>
      <c r="F133" s="346">
        <v>170000</v>
      </c>
      <c r="G133" s="347" t="s">
        <v>546</v>
      </c>
      <c r="H133" s="130">
        <f>I133+J133+K133+L133+M133+N133+O133+P133</f>
        <v>157693.58000000002</v>
      </c>
      <c r="I133" s="130">
        <v>0</v>
      </c>
      <c r="J133" s="130">
        <v>0</v>
      </c>
      <c r="K133" s="130">
        <v>52393.58</v>
      </c>
      <c r="L133" s="43">
        <v>10800</v>
      </c>
      <c r="M133" s="130">
        <v>94500</v>
      </c>
      <c r="N133" s="130">
        <v>0</v>
      </c>
      <c r="O133" s="130">
        <v>0</v>
      </c>
      <c r="P133" s="130">
        <v>0</v>
      </c>
      <c r="Q133" s="364" t="s">
        <v>539</v>
      </c>
    </row>
    <row r="134" spans="1:17" s="349" customFormat="1" ht="24" customHeight="1" x14ac:dyDescent="0.25">
      <c r="A134" s="343">
        <v>7</v>
      </c>
      <c r="B134" s="385">
        <v>622</v>
      </c>
      <c r="C134" s="344" t="s">
        <v>655</v>
      </c>
      <c r="D134" s="345">
        <v>4551</v>
      </c>
      <c r="E134" s="345" t="s">
        <v>530</v>
      </c>
      <c r="F134" s="406" t="s">
        <v>531</v>
      </c>
      <c r="G134" s="407"/>
      <c r="H134" s="130">
        <f>I134+J134+K134+L134+M134+N134+O134+P134</f>
        <v>21000</v>
      </c>
      <c r="I134" s="130">
        <v>0</v>
      </c>
      <c r="J134" s="130">
        <v>0</v>
      </c>
      <c r="K134" s="130">
        <v>0</v>
      </c>
      <c r="L134" s="43">
        <v>500</v>
      </c>
      <c r="M134" s="130">
        <v>7500</v>
      </c>
      <c r="N134" s="130">
        <v>13000</v>
      </c>
      <c r="O134" s="130">
        <v>0</v>
      </c>
      <c r="P134" s="130">
        <v>0</v>
      </c>
      <c r="Q134" s="364" t="s">
        <v>539</v>
      </c>
    </row>
    <row r="135" spans="1:17" s="349" customFormat="1" ht="24" customHeight="1" x14ac:dyDescent="0.25">
      <c r="A135" s="343">
        <v>7</v>
      </c>
      <c r="B135" s="385">
        <v>624</v>
      </c>
      <c r="C135" s="344" t="s">
        <v>656</v>
      </c>
      <c r="D135" s="345">
        <v>4576</v>
      </c>
      <c r="E135" s="345" t="s">
        <v>530</v>
      </c>
      <c r="F135" s="406" t="s">
        <v>531</v>
      </c>
      <c r="G135" s="407"/>
      <c r="H135" s="130">
        <f>I135+J135+K135+L135+M135+N135+O135+P135</f>
        <v>20500</v>
      </c>
      <c r="I135" s="130">
        <v>0</v>
      </c>
      <c r="J135" s="130">
        <v>0</v>
      </c>
      <c r="K135" s="130">
        <v>0</v>
      </c>
      <c r="L135" s="43">
        <v>500</v>
      </c>
      <c r="M135" s="130">
        <v>10000</v>
      </c>
      <c r="N135" s="130">
        <v>10000</v>
      </c>
      <c r="O135" s="130">
        <v>0</v>
      </c>
      <c r="P135" s="130">
        <v>0</v>
      </c>
      <c r="Q135" s="364" t="s">
        <v>539</v>
      </c>
    </row>
    <row r="136" spans="1:17" s="349" customFormat="1" ht="34.5" customHeight="1" x14ac:dyDescent="0.25">
      <c r="A136" s="343">
        <v>7</v>
      </c>
      <c r="B136" s="385">
        <v>626</v>
      </c>
      <c r="C136" s="344" t="s">
        <v>657</v>
      </c>
      <c r="D136" s="345">
        <v>4578</v>
      </c>
      <c r="E136" s="345" t="s">
        <v>530</v>
      </c>
      <c r="F136" s="406" t="s">
        <v>531</v>
      </c>
      <c r="G136" s="407"/>
      <c r="H136" s="130">
        <f>I136+J136+K136+L136+M136+N136+O136+P136</f>
        <v>5000</v>
      </c>
      <c r="I136" s="130">
        <v>0</v>
      </c>
      <c r="J136" s="130">
        <v>0</v>
      </c>
      <c r="K136" s="130">
        <v>0</v>
      </c>
      <c r="L136" s="43">
        <v>5000</v>
      </c>
      <c r="M136" s="130">
        <v>0</v>
      </c>
      <c r="N136" s="130">
        <v>0</v>
      </c>
      <c r="O136" s="130">
        <v>0</v>
      </c>
      <c r="P136" s="130">
        <v>0</v>
      </c>
      <c r="Q136" s="364" t="s">
        <v>539</v>
      </c>
    </row>
    <row r="137" spans="1:17" s="349" customFormat="1" ht="34.5" customHeight="1" x14ac:dyDescent="0.25">
      <c r="A137" s="343">
        <v>7</v>
      </c>
      <c r="B137" s="385">
        <v>628</v>
      </c>
      <c r="C137" s="344" t="s">
        <v>658</v>
      </c>
      <c r="D137" s="345">
        <v>4581</v>
      </c>
      <c r="E137" s="345" t="s">
        <v>530</v>
      </c>
      <c r="F137" s="406" t="s">
        <v>531</v>
      </c>
      <c r="G137" s="407"/>
      <c r="H137" s="130">
        <f t="shared" ref="H137:H161" si="15">I137+J137+K137+L137+M137+N137+O137+P137</f>
        <v>5000</v>
      </c>
      <c r="I137" s="130">
        <v>0</v>
      </c>
      <c r="J137" s="130">
        <v>0</v>
      </c>
      <c r="K137" s="130">
        <v>0</v>
      </c>
      <c r="L137" s="43">
        <v>5000</v>
      </c>
      <c r="M137" s="130">
        <v>0</v>
      </c>
      <c r="N137" s="130">
        <v>0</v>
      </c>
      <c r="O137" s="130">
        <v>0</v>
      </c>
      <c r="P137" s="130">
        <v>0</v>
      </c>
      <c r="Q137" s="364" t="s">
        <v>539</v>
      </c>
    </row>
    <row r="138" spans="1:17" s="349" customFormat="1" ht="34.5" customHeight="1" x14ac:dyDescent="0.25">
      <c r="A138" s="343">
        <v>7</v>
      </c>
      <c r="B138" s="385">
        <v>630</v>
      </c>
      <c r="C138" s="344" t="s">
        <v>659</v>
      </c>
      <c r="D138" s="345">
        <v>4582</v>
      </c>
      <c r="E138" s="345" t="s">
        <v>530</v>
      </c>
      <c r="F138" s="406" t="s">
        <v>531</v>
      </c>
      <c r="G138" s="407"/>
      <c r="H138" s="130">
        <f t="shared" si="15"/>
        <v>6370</v>
      </c>
      <c r="I138" s="130">
        <v>4170</v>
      </c>
      <c r="J138" s="130">
        <v>0</v>
      </c>
      <c r="K138" s="130">
        <v>0</v>
      </c>
      <c r="L138" s="43">
        <v>2200</v>
      </c>
      <c r="M138" s="130">
        <v>0</v>
      </c>
      <c r="N138" s="130">
        <v>0</v>
      </c>
      <c r="O138" s="130">
        <v>0</v>
      </c>
      <c r="P138" s="130">
        <v>0</v>
      </c>
      <c r="Q138" s="364" t="s">
        <v>539</v>
      </c>
    </row>
    <row r="139" spans="1:17" s="349" customFormat="1" ht="34.5" customHeight="1" x14ac:dyDescent="0.25">
      <c r="A139" s="343">
        <v>7</v>
      </c>
      <c r="B139" s="385">
        <v>632</v>
      </c>
      <c r="C139" s="344" t="s">
        <v>660</v>
      </c>
      <c r="D139" s="345">
        <v>4586</v>
      </c>
      <c r="E139" s="345" t="s">
        <v>530</v>
      </c>
      <c r="F139" s="406" t="s">
        <v>531</v>
      </c>
      <c r="G139" s="407"/>
      <c r="H139" s="130">
        <f t="shared" si="15"/>
        <v>800</v>
      </c>
      <c r="I139" s="130">
        <v>0</v>
      </c>
      <c r="J139" s="130">
        <v>0</v>
      </c>
      <c r="K139" s="130">
        <v>0</v>
      </c>
      <c r="L139" s="43">
        <v>800</v>
      </c>
      <c r="M139" s="130">
        <v>0</v>
      </c>
      <c r="N139" s="130">
        <v>0</v>
      </c>
      <c r="O139" s="130">
        <v>0</v>
      </c>
      <c r="P139" s="130">
        <v>0</v>
      </c>
      <c r="Q139" s="364" t="s">
        <v>539</v>
      </c>
    </row>
    <row r="140" spans="1:17" s="349" customFormat="1" ht="24" customHeight="1" x14ac:dyDescent="0.25">
      <c r="A140" s="343">
        <v>7</v>
      </c>
      <c r="B140" s="385">
        <v>634</v>
      </c>
      <c r="C140" s="344" t="s">
        <v>661</v>
      </c>
      <c r="D140" s="345">
        <v>4587</v>
      </c>
      <c r="E140" s="345" t="s">
        <v>530</v>
      </c>
      <c r="F140" s="406" t="s">
        <v>531</v>
      </c>
      <c r="G140" s="407"/>
      <c r="H140" s="130">
        <f t="shared" si="15"/>
        <v>20000</v>
      </c>
      <c r="I140" s="130">
        <v>0</v>
      </c>
      <c r="J140" s="130">
        <v>0</v>
      </c>
      <c r="K140" s="130">
        <v>0</v>
      </c>
      <c r="L140" s="43">
        <v>20000</v>
      </c>
      <c r="M140" s="130">
        <v>0</v>
      </c>
      <c r="N140" s="130">
        <v>0</v>
      </c>
      <c r="O140" s="130">
        <v>0</v>
      </c>
      <c r="P140" s="130">
        <v>0</v>
      </c>
      <c r="Q140" s="364" t="s">
        <v>539</v>
      </c>
    </row>
    <row r="141" spans="1:17" s="349" customFormat="1" ht="24" customHeight="1" x14ac:dyDescent="0.25">
      <c r="A141" s="343">
        <v>7</v>
      </c>
      <c r="B141" s="385">
        <v>636</v>
      </c>
      <c r="C141" s="344" t="s">
        <v>662</v>
      </c>
      <c r="D141" s="345">
        <v>4588</v>
      </c>
      <c r="E141" s="345" t="s">
        <v>530</v>
      </c>
      <c r="F141" s="406" t="s">
        <v>531</v>
      </c>
      <c r="G141" s="407"/>
      <c r="H141" s="130">
        <f t="shared" si="15"/>
        <v>26000</v>
      </c>
      <c r="I141" s="130">
        <v>0</v>
      </c>
      <c r="J141" s="130">
        <v>0</v>
      </c>
      <c r="K141" s="130">
        <v>0</v>
      </c>
      <c r="L141" s="43">
        <v>1000</v>
      </c>
      <c r="M141" s="130">
        <v>25000</v>
      </c>
      <c r="N141" s="130">
        <v>0</v>
      </c>
      <c r="O141" s="130">
        <v>0</v>
      </c>
      <c r="P141" s="130">
        <v>0</v>
      </c>
      <c r="Q141" s="364" t="s">
        <v>539</v>
      </c>
    </row>
    <row r="142" spans="1:17" s="349" customFormat="1" ht="24" customHeight="1" x14ac:dyDescent="0.25">
      <c r="A142" s="343">
        <v>7</v>
      </c>
      <c r="B142" s="385">
        <v>638</v>
      </c>
      <c r="C142" s="344" t="s">
        <v>663</v>
      </c>
      <c r="D142" s="345">
        <v>4619</v>
      </c>
      <c r="E142" s="345" t="s">
        <v>530</v>
      </c>
      <c r="F142" s="406" t="s">
        <v>531</v>
      </c>
      <c r="G142" s="407"/>
      <c r="H142" s="130">
        <f t="shared" si="15"/>
        <v>5400</v>
      </c>
      <c r="I142" s="130">
        <v>0</v>
      </c>
      <c r="J142" s="130">
        <v>0</v>
      </c>
      <c r="K142" s="130">
        <v>0</v>
      </c>
      <c r="L142" s="43">
        <v>5400</v>
      </c>
      <c r="M142" s="130">
        <v>0</v>
      </c>
      <c r="N142" s="130">
        <v>0</v>
      </c>
      <c r="O142" s="130">
        <v>0</v>
      </c>
      <c r="P142" s="130">
        <v>0</v>
      </c>
      <c r="Q142" s="364" t="s">
        <v>539</v>
      </c>
    </row>
    <row r="143" spans="1:17" s="349" customFormat="1" ht="24" customHeight="1" x14ac:dyDescent="0.25">
      <c r="A143" s="343">
        <v>7</v>
      </c>
      <c r="B143" s="385">
        <v>640</v>
      </c>
      <c r="C143" s="344" t="s">
        <v>664</v>
      </c>
      <c r="D143" s="345">
        <v>4620</v>
      </c>
      <c r="E143" s="345" t="s">
        <v>530</v>
      </c>
      <c r="F143" s="406" t="s">
        <v>531</v>
      </c>
      <c r="G143" s="407"/>
      <c r="H143" s="130">
        <f t="shared" si="15"/>
        <v>2000</v>
      </c>
      <c r="I143" s="130">
        <v>100</v>
      </c>
      <c r="J143" s="130">
        <v>0</v>
      </c>
      <c r="K143" s="130">
        <v>0</v>
      </c>
      <c r="L143" s="43">
        <v>1900</v>
      </c>
      <c r="M143" s="130">
        <v>0</v>
      </c>
      <c r="N143" s="130">
        <v>0</v>
      </c>
      <c r="O143" s="130">
        <v>0</v>
      </c>
      <c r="P143" s="130">
        <v>0</v>
      </c>
      <c r="Q143" s="364" t="s">
        <v>539</v>
      </c>
    </row>
    <row r="144" spans="1:17" s="349" customFormat="1" ht="34.5" customHeight="1" x14ac:dyDescent="0.25">
      <c r="A144" s="343">
        <v>7</v>
      </c>
      <c r="B144" s="385">
        <v>642</v>
      </c>
      <c r="C144" s="344" t="s">
        <v>665</v>
      </c>
      <c r="D144" s="345">
        <v>4630</v>
      </c>
      <c r="E144" s="345" t="s">
        <v>530</v>
      </c>
      <c r="F144" s="406" t="s">
        <v>531</v>
      </c>
      <c r="G144" s="407"/>
      <c r="H144" s="130">
        <f t="shared" si="15"/>
        <v>6000</v>
      </c>
      <c r="I144" s="130">
        <v>0</v>
      </c>
      <c r="J144" s="130">
        <v>0</v>
      </c>
      <c r="K144" s="130">
        <v>0</v>
      </c>
      <c r="L144" s="43">
        <v>6000</v>
      </c>
      <c r="M144" s="130">
        <v>0</v>
      </c>
      <c r="N144" s="130">
        <v>0</v>
      </c>
      <c r="O144" s="130">
        <v>0</v>
      </c>
      <c r="P144" s="130">
        <v>0</v>
      </c>
      <c r="Q144" s="364" t="s">
        <v>539</v>
      </c>
    </row>
    <row r="145" spans="1:17" s="349" customFormat="1" ht="24" customHeight="1" x14ac:dyDescent="0.25">
      <c r="A145" s="343">
        <v>7</v>
      </c>
      <c r="B145" s="385">
        <v>644</v>
      </c>
      <c r="C145" s="344" t="s">
        <v>666</v>
      </c>
      <c r="D145" s="345">
        <v>4632</v>
      </c>
      <c r="E145" s="345" t="s">
        <v>530</v>
      </c>
      <c r="F145" s="406" t="s">
        <v>531</v>
      </c>
      <c r="G145" s="407"/>
      <c r="H145" s="130">
        <f t="shared" si="15"/>
        <v>6500</v>
      </c>
      <c r="I145" s="130">
        <v>0</v>
      </c>
      <c r="J145" s="130">
        <v>0</v>
      </c>
      <c r="K145" s="130">
        <v>0</v>
      </c>
      <c r="L145" s="43">
        <v>3500</v>
      </c>
      <c r="M145" s="130">
        <v>3000</v>
      </c>
      <c r="N145" s="130">
        <v>0</v>
      </c>
      <c r="O145" s="130">
        <v>0</v>
      </c>
      <c r="P145" s="130">
        <v>0</v>
      </c>
      <c r="Q145" s="364" t="s">
        <v>539</v>
      </c>
    </row>
    <row r="146" spans="1:17" s="349" customFormat="1" ht="34.5" customHeight="1" x14ac:dyDescent="0.25">
      <c r="A146" s="343">
        <v>7</v>
      </c>
      <c r="B146" s="385">
        <v>646</v>
      </c>
      <c r="C146" s="344" t="s">
        <v>667</v>
      </c>
      <c r="D146" s="345">
        <v>4640</v>
      </c>
      <c r="E146" s="345" t="s">
        <v>530</v>
      </c>
      <c r="F146" s="406" t="s">
        <v>531</v>
      </c>
      <c r="G146" s="407"/>
      <c r="H146" s="130">
        <f t="shared" si="15"/>
        <v>3536</v>
      </c>
      <c r="I146" s="130">
        <v>236</v>
      </c>
      <c r="J146" s="130">
        <v>0</v>
      </c>
      <c r="K146" s="130">
        <v>0</v>
      </c>
      <c r="L146" s="43">
        <v>3300</v>
      </c>
      <c r="M146" s="130">
        <v>0</v>
      </c>
      <c r="N146" s="130">
        <v>0</v>
      </c>
      <c r="O146" s="130">
        <v>0</v>
      </c>
      <c r="P146" s="130">
        <v>0</v>
      </c>
      <c r="Q146" s="364" t="s">
        <v>539</v>
      </c>
    </row>
    <row r="147" spans="1:17" s="349" customFormat="1" ht="24" customHeight="1" x14ac:dyDescent="0.25">
      <c r="A147" s="343">
        <v>7</v>
      </c>
      <c r="B147" s="385">
        <v>648</v>
      </c>
      <c r="C147" s="344" t="s">
        <v>668</v>
      </c>
      <c r="D147" s="345">
        <v>4641</v>
      </c>
      <c r="E147" s="345" t="s">
        <v>530</v>
      </c>
      <c r="F147" s="406" t="s">
        <v>531</v>
      </c>
      <c r="G147" s="407"/>
      <c r="H147" s="130">
        <f t="shared" si="15"/>
        <v>3000</v>
      </c>
      <c r="I147" s="130">
        <v>0</v>
      </c>
      <c r="J147" s="130">
        <v>0</v>
      </c>
      <c r="K147" s="130">
        <v>0</v>
      </c>
      <c r="L147" s="43">
        <v>3000</v>
      </c>
      <c r="M147" s="130">
        <v>0</v>
      </c>
      <c r="N147" s="130">
        <v>0</v>
      </c>
      <c r="O147" s="130">
        <v>0</v>
      </c>
      <c r="P147" s="130">
        <v>0</v>
      </c>
      <c r="Q147" s="364" t="s">
        <v>539</v>
      </c>
    </row>
    <row r="148" spans="1:17" s="349" customFormat="1" ht="24" customHeight="1" x14ac:dyDescent="0.25">
      <c r="A148" s="343">
        <v>7</v>
      </c>
      <c r="B148" s="385">
        <v>650</v>
      </c>
      <c r="C148" s="344" t="s">
        <v>669</v>
      </c>
      <c r="D148" s="345">
        <v>4642</v>
      </c>
      <c r="E148" s="345" t="s">
        <v>530</v>
      </c>
      <c r="F148" s="406" t="s">
        <v>531</v>
      </c>
      <c r="G148" s="407"/>
      <c r="H148" s="130">
        <f t="shared" si="15"/>
        <v>26000</v>
      </c>
      <c r="I148" s="130">
        <v>0</v>
      </c>
      <c r="J148" s="130">
        <v>0</v>
      </c>
      <c r="K148" s="130">
        <v>0</v>
      </c>
      <c r="L148" s="43">
        <v>16000</v>
      </c>
      <c r="M148" s="130">
        <v>10000</v>
      </c>
      <c r="N148" s="130">
        <v>0</v>
      </c>
      <c r="O148" s="130">
        <v>0</v>
      </c>
      <c r="P148" s="130">
        <v>0</v>
      </c>
      <c r="Q148" s="364" t="s">
        <v>539</v>
      </c>
    </row>
    <row r="149" spans="1:17" s="349" customFormat="1" ht="34.5" customHeight="1" x14ac:dyDescent="0.25">
      <c r="A149" s="343">
        <v>7</v>
      </c>
      <c r="B149" s="385">
        <v>652</v>
      </c>
      <c r="C149" s="344" t="s">
        <v>670</v>
      </c>
      <c r="D149" s="345">
        <v>4643</v>
      </c>
      <c r="E149" s="345" t="s">
        <v>530</v>
      </c>
      <c r="F149" s="406" t="s">
        <v>531</v>
      </c>
      <c r="G149" s="407"/>
      <c r="H149" s="130">
        <f t="shared" si="15"/>
        <v>500</v>
      </c>
      <c r="I149" s="130">
        <v>0</v>
      </c>
      <c r="J149" s="130">
        <v>0</v>
      </c>
      <c r="K149" s="130">
        <v>0</v>
      </c>
      <c r="L149" s="43">
        <v>500</v>
      </c>
      <c r="M149" s="130">
        <v>0</v>
      </c>
      <c r="N149" s="130">
        <v>0</v>
      </c>
      <c r="O149" s="130">
        <v>0</v>
      </c>
      <c r="P149" s="130">
        <v>0</v>
      </c>
      <c r="Q149" s="364" t="s">
        <v>539</v>
      </c>
    </row>
    <row r="150" spans="1:17" s="349" customFormat="1" ht="24" customHeight="1" x14ac:dyDescent="0.25">
      <c r="A150" s="343">
        <v>7</v>
      </c>
      <c r="B150" s="385">
        <v>654</v>
      </c>
      <c r="C150" s="344" t="s">
        <v>671</v>
      </c>
      <c r="D150" s="345">
        <v>4644</v>
      </c>
      <c r="E150" s="345" t="s">
        <v>530</v>
      </c>
      <c r="F150" s="406" t="s">
        <v>531</v>
      </c>
      <c r="G150" s="407"/>
      <c r="H150" s="130">
        <f t="shared" si="15"/>
        <v>15000</v>
      </c>
      <c r="I150" s="130">
        <v>0</v>
      </c>
      <c r="J150" s="130">
        <v>0</v>
      </c>
      <c r="K150" s="130">
        <v>0</v>
      </c>
      <c r="L150" s="43">
        <v>15000</v>
      </c>
      <c r="M150" s="130">
        <v>0</v>
      </c>
      <c r="N150" s="130">
        <v>0</v>
      </c>
      <c r="O150" s="130">
        <v>0</v>
      </c>
      <c r="P150" s="130">
        <v>0</v>
      </c>
      <c r="Q150" s="364" t="s">
        <v>539</v>
      </c>
    </row>
    <row r="151" spans="1:17" s="349" customFormat="1" ht="34.5" customHeight="1" x14ac:dyDescent="0.25">
      <c r="A151" s="343">
        <v>7</v>
      </c>
      <c r="B151" s="385">
        <v>656</v>
      </c>
      <c r="C151" s="344" t="s">
        <v>672</v>
      </c>
      <c r="D151" s="345">
        <v>4645</v>
      </c>
      <c r="E151" s="345" t="s">
        <v>530</v>
      </c>
      <c r="F151" s="406" t="s">
        <v>531</v>
      </c>
      <c r="G151" s="407"/>
      <c r="H151" s="130">
        <f t="shared" si="15"/>
        <v>3000</v>
      </c>
      <c r="I151" s="130">
        <v>0</v>
      </c>
      <c r="J151" s="130">
        <v>0</v>
      </c>
      <c r="K151" s="130">
        <v>0</v>
      </c>
      <c r="L151" s="43">
        <v>3000</v>
      </c>
      <c r="M151" s="130">
        <v>0</v>
      </c>
      <c r="N151" s="130">
        <v>0</v>
      </c>
      <c r="O151" s="130">
        <v>0</v>
      </c>
      <c r="P151" s="130">
        <v>0</v>
      </c>
      <c r="Q151" s="364" t="s">
        <v>539</v>
      </c>
    </row>
    <row r="152" spans="1:17" s="349" customFormat="1" ht="24" customHeight="1" x14ac:dyDescent="0.25">
      <c r="A152" s="343">
        <v>7</v>
      </c>
      <c r="B152" s="385">
        <v>658</v>
      </c>
      <c r="C152" s="344" t="s">
        <v>673</v>
      </c>
      <c r="D152" s="345">
        <v>4646</v>
      </c>
      <c r="E152" s="345" t="s">
        <v>530</v>
      </c>
      <c r="F152" s="406" t="s">
        <v>531</v>
      </c>
      <c r="G152" s="407"/>
      <c r="H152" s="130">
        <f t="shared" si="15"/>
        <v>21000</v>
      </c>
      <c r="I152" s="130">
        <v>1000</v>
      </c>
      <c r="J152" s="130">
        <v>0</v>
      </c>
      <c r="K152" s="130">
        <v>0</v>
      </c>
      <c r="L152" s="43">
        <v>10000</v>
      </c>
      <c r="M152" s="130">
        <v>10000</v>
      </c>
      <c r="N152" s="130">
        <v>0</v>
      </c>
      <c r="O152" s="130">
        <v>0</v>
      </c>
      <c r="P152" s="130">
        <v>0</v>
      </c>
      <c r="Q152" s="364" t="s">
        <v>539</v>
      </c>
    </row>
    <row r="153" spans="1:17" s="349" customFormat="1" ht="24" customHeight="1" x14ac:dyDescent="0.25">
      <c r="A153" s="343">
        <v>7</v>
      </c>
      <c r="B153" s="385">
        <v>660</v>
      </c>
      <c r="C153" s="344" t="s">
        <v>674</v>
      </c>
      <c r="D153" s="345">
        <v>4647</v>
      </c>
      <c r="E153" s="345" t="s">
        <v>530</v>
      </c>
      <c r="F153" s="406" t="s">
        <v>531</v>
      </c>
      <c r="G153" s="407"/>
      <c r="H153" s="130">
        <f t="shared" si="15"/>
        <v>8600</v>
      </c>
      <c r="I153" s="130">
        <v>0</v>
      </c>
      <c r="J153" s="130">
        <v>0</v>
      </c>
      <c r="K153" s="130">
        <v>0</v>
      </c>
      <c r="L153" s="43">
        <v>500</v>
      </c>
      <c r="M153" s="130">
        <v>4300</v>
      </c>
      <c r="N153" s="130">
        <v>3800</v>
      </c>
      <c r="O153" s="130">
        <v>0</v>
      </c>
      <c r="P153" s="130">
        <v>0</v>
      </c>
      <c r="Q153" s="364" t="s">
        <v>539</v>
      </c>
    </row>
    <row r="154" spans="1:17" s="349" customFormat="1" ht="24" customHeight="1" x14ac:dyDescent="0.25">
      <c r="A154" s="343">
        <v>7</v>
      </c>
      <c r="B154" s="385">
        <v>662</v>
      </c>
      <c r="C154" s="344" t="s">
        <v>675</v>
      </c>
      <c r="D154" s="345">
        <v>4648</v>
      </c>
      <c r="E154" s="345" t="s">
        <v>530</v>
      </c>
      <c r="F154" s="406" t="s">
        <v>531</v>
      </c>
      <c r="G154" s="407"/>
      <c r="H154" s="130">
        <f t="shared" si="15"/>
        <v>1700</v>
      </c>
      <c r="I154" s="130">
        <v>0</v>
      </c>
      <c r="J154" s="130">
        <v>0</v>
      </c>
      <c r="K154" s="130">
        <v>0</v>
      </c>
      <c r="L154" s="43">
        <v>1700</v>
      </c>
      <c r="M154" s="130">
        <v>0</v>
      </c>
      <c r="N154" s="130">
        <v>0</v>
      </c>
      <c r="O154" s="130">
        <v>0</v>
      </c>
      <c r="P154" s="130">
        <v>0</v>
      </c>
      <c r="Q154" s="364" t="s">
        <v>539</v>
      </c>
    </row>
    <row r="155" spans="1:17" s="349" customFormat="1" ht="24" customHeight="1" x14ac:dyDescent="0.25">
      <c r="A155" s="343">
        <v>7</v>
      </c>
      <c r="B155" s="385">
        <v>664</v>
      </c>
      <c r="C155" s="344" t="s">
        <v>676</v>
      </c>
      <c r="D155" s="345">
        <v>4649</v>
      </c>
      <c r="E155" s="345" t="s">
        <v>530</v>
      </c>
      <c r="F155" s="406" t="s">
        <v>531</v>
      </c>
      <c r="G155" s="407"/>
      <c r="H155" s="130">
        <f t="shared" si="15"/>
        <v>1800</v>
      </c>
      <c r="I155" s="130">
        <v>0</v>
      </c>
      <c r="J155" s="130">
        <v>0</v>
      </c>
      <c r="K155" s="130">
        <v>0</v>
      </c>
      <c r="L155" s="43">
        <v>1800</v>
      </c>
      <c r="M155" s="130">
        <v>0</v>
      </c>
      <c r="N155" s="130">
        <v>0</v>
      </c>
      <c r="O155" s="130">
        <v>0</v>
      </c>
      <c r="P155" s="130">
        <v>0</v>
      </c>
      <c r="Q155" s="364" t="s">
        <v>539</v>
      </c>
    </row>
    <row r="156" spans="1:17" s="349" customFormat="1" ht="34.5" customHeight="1" x14ac:dyDescent="0.25">
      <c r="A156" s="343">
        <v>7</v>
      </c>
      <c r="B156" s="385">
        <v>666</v>
      </c>
      <c r="C156" s="344" t="s">
        <v>677</v>
      </c>
      <c r="D156" s="345">
        <v>4650</v>
      </c>
      <c r="E156" s="345" t="s">
        <v>530</v>
      </c>
      <c r="F156" s="406" t="s">
        <v>531</v>
      </c>
      <c r="G156" s="407"/>
      <c r="H156" s="130">
        <f t="shared" si="15"/>
        <v>3807</v>
      </c>
      <c r="I156" s="130">
        <v>157</v>
      </c>
      <c r="J156" s="130">
        <v>0</v>
      </c>
      <c r="K156" s="130">
        <v>0</v>
      </c>
      <c r="L156" s="43">
        <v>1000</v>
      </c>
      <c r="M156" s="130">
        <v>2650</v>
      </c>
      <c r="N156" s="130">
        <v>0</v>
      </c>
      <c r="O156" s="130">
        <v>0</v>
      </c>
      <c r="P156" s="130">
        <v>0</v>
      </c>
      <c r="Q156" s="364" t="s">
        <v>539</v>
      </c>
    </row>
    <row r="157" spans="1:17" s="349" customFormat="1" ht="24" customHeight="1" x14ac:dyDescent="0.25">
      <c r="A157" s="343">
        <v>7</v>
      </c>
      <c r="B157" s="385">
        <v>668</v>
      </c>
      <c r="C157" s="344" t="s">
        <v>678</v>
      </c>
      <c r="D157" s="345">
        <v>4651</v>
      </c>
      <c r="E157" s="345" t="s">
        <v>530</v>
      </c>
      <c r="F157" s="406" t="s">
        <v>531</v>
      </c>
      <c r="G157" s="407"/>
      <c r="H157" s="130">
        <f t="shared" si="15"/>
        <v>2400</v>
      </c>
      <c r="I157" s="130">
        <v>0</v>
      </c>
      <c r="J157" s="130">
        <v>0</v>
      </c>
      <c r="K157" s="130">
        <v>0</v>
      </c>
      <c r="L157" s="43">
        <v>400</v>
      </c>
      <c r="M157" s="130">
        <v>2000</v>
      </c>
      <c r="N157" s="130">
        <v>0</v>
      </c>
      <c r="O157" s="130">
        <v>0</v>
      </c>
      <c r="P157" s="130">
        <v>0</v>
      </c>
      <c r="Q157" s="364" t="s">
        <v>539</v>
      </c>
    </row>
    <row r="158" spans="1:17" s="349" customFormat="1" ht="24" customHeight="1" x14ac:dyDescent="0.25">
      <c r="A158" s="343">
        <v>7</v>
      </c>
      <c r="B158" s="385">
        <v>670</v>
      </c>
      <c r="C158" s="344" t="s">
        <v>679</v>
      </c>
      <c r="D158" s="345">
        <v>4652</v>
      </c>
      <c r="E158" s="345" t="s">
        <v>530</v>
      </c>
      <c r="F158" s="406" t="s">
        <v>531</v>
      </c>
      <c r="G158" s="407"/>
      <c r="H158" s="130">
        <f t="shared" si="15"/>
        <v>3300</v>
      </c>
      <c r="I158" s="130">
        <v>0</v>
      </c>
      <c r="J158" s="130">
        <v>0</v>
      </c>
      <c r="K158" s="130">
        <v>0</v>
      </c>
      <c r="L158" s="43">
        <v>300</v>
      </c>
      <c r="M158" s="130">
        <v>3000</v>
      </c>
      <c r="N158" s="130">
        <v>0</v>
      </c>
      <c r="O158" s="130">
        <v>0</v>
      </c>
      <c r="P158" s="130">
        <v>0</v>
      </c>
      <c r="Q158" s="364" t="s">
        <v>539</v>
      </c>
    </row>
    <row r="159" spans="1:17" s="349" customFormat="1" ht="34.5" customHeight="1" x14ac:dyDescent="0.25">
      <c r="A159" s="343">
        <v>7</v>
      </c>
      <c r="B159" s="385">
        <v>672</v>
      </c>
      <c r="C159" s="344" t="s">
        <v>680</v>
      </c>
      <c r="D159" s="345">
        <v>4653</v>
      </c>
      <c r="E159" s="345" t="s">
        <v>530</v>
      </c>
      <c r="F159" s="406" t="s">
        <v>531</v>
      </c>
      <c r="G159" s="407"/>
      <c r="H159" s="130">
        <f t="shared" si="15"/>
        <v>1082</v>
      </c>
      <c r="I159" s="130">
        <v>82</v>
      </c>
      <c r="J159" s="130">
        <v>0</v>
      </c>
      <c r="K159" s="130">
        <v>0</v>
      </c>
      <c r="L159" s="43">
        <v>1000</v>
      </c>
      <c r="M159" s="130">
        <v>0</v>
      </c>
      <c r="N159" s="130">
        <v>0</v>
      </c>
      <c r="O159" s="130">
        <v>0</v>
      </c>
      <c r="P159" s="130">
        <v>0</v>
      </c>
      <c r="Q159" s="364" t="s">
        <v>539</v>
      </c>
    </row>
    <row r="160" spans="1:17" s="349" customFormat="1" ht="34.5" customHeight="1" x14ac:dyDescent="0.25">
      <c r="A160" s="343">
        <v>7</v>
      </c>
      <c r="B160" s="385">
        <v>674</v>
      </c>
      <c r="C160" s="344" t="s">
        <v>681</v>
      </c>
      <c r="D160" s="345">
        <v>4654</v>
      </c>
      <c r="E160" s="345" t="s">
        <v>530</v>
      </c>
      <c r="F160" s="406" t="s">
        <v>531</v>
      </c>
      <c r="G160" s="407"/>
      <c r="H160" s="130">
        <f t="shared" si="15"/>
        <v>1000</v>
      </c>
      <c r="I160" s="130">
        <v>0</v>
      </c>
      <c r="J160" s="130">
        <v>0</v>
      </c>
      <c r="K160" s="130">
        <v>0</v>
      </c>
      <c r="L160" s="43">
        <v>1000</v>
      </c>
      <c r="M160" s="130">
        <v>0</v>
      </c>
      <c r="N160" s="130">
        <v>0</v>
      </c>
      <c r="O160" s="130">
        <v>0</v>
      </c>
      <c r="P160" s="130">
        <v>0</v>
      </c>
      <c r="Q160" s="364" t="s">
        <v>539</v>
      </c>
    </row>
    <row r="161" spans="1:17" s="349" customFormat="1" ht="24" customHeight="1" x14ac:dyDescent="0.25">
      <c r="A161" s="343">
        <v>7</v>
      </c>
      <c r="B161" s="385">
        <v>676</v>
      </c>
      <c r="C161" s="344" t="s">
        <v>682</v>
      </c>
      <c r="D161" s="345">
        <v>4656</v>
      </c>
      <c r="E161" s="345" t="s">
        <v>530</v>
      </c>
      <c r="F161" s="406" t="s">
        <v>531</v>
      </c>
      <c r="G161" s="407"/>
      <c r="H161" s="130">
        <f t="shared" si="15"/>
        <v>4200</v>
      </c>
      <c r="I161" s="130">
        <v>0</v>
      </c>
      <c r="J161" s="130">
        <v>0</v>
      </c>
      <c r="K161" s="130">
        <v>0</v>
      </c>
      <c r="L161" s="43">
        <v>500</v>
      </c>
      <c r="M161" s="130">
        <v>3700</v>
      </c>
      <c r="N161" s="130">
        <v>0</v>
      </c>
      <c r="O161" s="130">
        <v>0</v>
      </c>
      <c r="P161" s="130">
        <v>0</v>
      </c>
      <c r="Q161" s="364" t="s">
        <v>539</v>
      </c>
    </row>
    <row r="162" spans="1:17" s="349" customFormat="1" ht="24" customHeight="1" x14ac:dyDescent="0.25">
      <c r="A162" s="343">
        <v>7</v>
      </c>
      <c r="B162" s="385">
        <v>678</v>
      </c>
      <c r="C162" s="344" t="s">
        <v>683</v>
      </c>
      <c r="D162" s="345">
        <v>4658</v>
      </c>
      <c r="E162" s="345" t="s">
        <v>530</v>
      </c>
      <c r="F162" s="406" t="s">
        <v>531</v>
      </c>
      <c r="G162" s="407"/>
      <c r="H162" s="130">
        <f>I162+J162+K162+L162+M162+N162+O162+P162</f>
        <v>15800</v>
      </c>
      <c r="I162" s="130">
        <v>0</v>
      </c>
      <c r="J162" s="130">
        <v>0</v>
      </c>
      <c r="K162" s="130">
        <v>0</v>
      </c>
      <c r="L162" s="43">
        <v>800</v>
      </c>
      <c r="M162" s="130">
        <v>15000</v>
      </c>
      <c r="N162" s="130">
        <v>0</v>
      </c>
      <c r="O162" s="130">
        <v>0</v>
      </c>
      <c r="P162" s="130">
        <v>0</v>
      </c>
      <c r="Q162" s="364" t="s">
        <v>539</v>
      </c>
    </row>
    <row r="163" spans="1:17" s="349" customFormat="1" ht="34.5" customHeight="1" x14ac:dyDescent="0.25">
      <c r="A163" s="343">
        <v>7</v>
      </c>
      <c r="B163" s="385">
        <v>680</v>
      </c>
      <c r="C163" s="344" t="s">
        <v>684</v>
      </c>
      <c r="D163" s="345">
        <v>4659</v>
      </c>
      <c r="E163" s="345" t="s">
        <v>530</v>
      </c>
      <c r="F163" s="406" t="s">
        <v>531</v>
      </c>
      <c r="G163" s="407"/>
      <c r="H163" s="130">
        <f>I163+J163+K163+L163+M163+N163+O163+P163</f>
        <v>16785</v>
      </c>
      <c r="I163" s="130">
        <v>85</v>
      </c>
      <c r="J163" s="130">
        <v>0</v>
      </c>
      <c r="K163" s="130">
        <v>0</v>
      </c>
      <c r="L163" s="43">
        <v>800</v>
      </c>
      <c r="M163" s="130">
        <v>15900</v>
      </c>
      <c r="N163" s="130">
        <v>0</v>
      </c>
      <c r="O163" s="130">
        <v>0</v>
      </c>
      <c r="P163" s="130">
        <v>0</v>
      </c>
      <c r="Q163" s="364" t="s">
        <v>539</v>
      </c>
    </row>
    <row r="164" spans="1:17" s="349" customFormat="1" ht="21" x14ac:dyDescent="0.25">
      <c r="A164" s="343">
        <v>7</v>
      </c>
      <c r="B164" s="385">
        <v>682</v>
      </c>
      <c r="C164" s="344" t="s">
        <v>685</v>
      </c>
      <c r="D164" s="345">
        <v>4661</v>
      </c>
      <c r="E164" s="345" t="s">
        <v>530</v>
      </c>
      <c r="F164" s="406" t="s">
        <v>531</v>
      </c>
      <c r="G164" s="407"/>
      <c r="H164" s="130">
        <f t="shared" ref="H164:H169" si="16">I164+J164+K164+L164+M164+N164+O164+P164</f>
        <v>13000</v>
      </c>
      <c r="I164" s="130">
        <v>0</v>
      </c>
      <c r="J164" s="130">
        <v>0</v>
      </c>
      <c r="K164" s="130">
        <v>0</v>
      </c>
      <c r="L164" s="43">
        <v>500</v>
      </c>
      <c r="M164" s="130">
        <v>12500</v>
      </c>
      <c r="N164" s="130">
        <v>0</v>
      </c>
      <c r="O164" s="130">
        <v>0</v>
      </c>
      <c r="P164" s="130">
        <v>0</v>
      </c>
      <c r="Q164" s="364" t="s">
        <v>539</v>
      </c>
    </row>
    <row r="165" spans="1:17" s="349" customFormat="1" ht="33.75" customHeight="1" x14ac:dyDescent="0.25">
      <c r="A165" s="343">
        <v>7</v>
      </c>
      <c r="B165" s="385">
        <v>684</v>
      </c>
      <c r="C165" s="344" t="s">
        <v>686</v>
      </c>
      <c r="D165" s="345">
        <v>4662</v>
      </c>
      <c r="E165" s="345" t="s">
        <v>530</v>
      </c>
      <c r="F165" s="406" t="s">
        <v>531</v>
      </c>
      <c r="G165" s="407"/>
      <c r="H165" s="130">
        <f t="shared" si="16"/>
        <v>8500</v>
      </c>
      <c r="I165" s="130">
        <v>1000</v>
      </c>
      <c r="J165" s="130">
        <v>0</v>
      </c>
      <c r="K165" s="130">
        <v>0</v>
      </c>
      <c r="L165" s="43">
        <v>3500</v>
      </c>
      <c r="M165" s="130">
        <v>4000</v>
      </c>
      <c r="N165" s="130">
        <v>0</v>
      </c>
      <c r="O165" s="130">
        <v>0</v>
      </c>
      <c r="P165" s="130">
        <v>0</v>
      </c>
      <c r="Q165" s="364" t="s">
        <v>539</v>
      </c>
    </row>
    <row r="166" spans="1:17" s="349" customFormat="1" ht="24" customHeight="1" x14ac:dyDescent="0.25">
      <c r="A166" s="343">
        <v>7</v>
      </c>
      <c r="B166" s="385">
        <v>686</v>
      </c>
      <c r="C166" s="344" t="s">
        <v>687</v>
      </c>
      <c r="D166" s="345">
        <v>4663</v>
      </c>
      <c r="E166" s="345" t="s">
        <v>530</v>
      </c>
      <c r="F166" s="406" t="s">
        <v>531</v>
      </c>
      <c r="G166" s="407"/>
      <c r="H166" s="130">
        <f t="shared" si="16"/>
        <v>2000</v>
      </c>
      <c r="I166" s="130">
        <v>0</v>
      </c>
      <c r="J166" s="130">
        <v>0</v>
      </c>
      <c r="K166" s="130">
        <v>0</v>
      </c>
      <c r="L166" s="43">
        <v>2000</v>
      </c>
      <c r="M166" s="130">
        <v>0</v>
      </c>
      <c r="N166" s="130">
        <v>0</v>
      </c>
      <c r="O166" s="130">
        <v>0</v>
      </c>
      <c r="P166" s="130">
        <v>0</v>
      </c>
      <c r="Q166" s="364" t="s">
        <v>539</v>
      </c>
    </row>
    <row r="167" spans="1:17" s="349" customFormat="1" ht="24" customHeight="1" x14ac:dyDescent="0.25">
      <c r="A167" s="343">
        <v>7</v>
      </c>
      <c r="B167" s="385">
        <v>688</v>
      </c>
      <c r="C167" s="344" t="s">
        <v>688</v>
      </c>
      <c r="D167" s="345">
        <v>4664</v>
      </c>
      <c r="E167" s="345" t="s">
        <v>530</v>
      </c>
      <c r="F167" s="406" t="s">
        <v>531</v>
      </c>
      <c r="G167" s="407"/>
      <c r="H167" s="130">
        <f t="shared" si="16"/>
        <v>13500</v>
      </c>
      <c r="I167" s="130">
        <v>0</v>
      </c>
      <c r="J167" s="130">
        <v>0</v>
      </c>
      <c r="K167" s="130">
        <v>0</v>
      </c>
      <c r="L167" s="43">
        <v>1000</v>
      </c>
      <c r="M167" s="130">
        <v>12500</v>
      </c>
      <c r="N167" s="130">
        <v>0</v>
      </c>
      <c r="O167" s="130">
        <v>0</v>
      </c>
      <c r="P167" s="130">
        <v>0</v>
      </c>
      <c r="Q167" s="364" t="s">
        <v>539</v>
      </c>
    </row>
    <row r="168" spans="1:17" s="349" customFormat="1" ht="24" customHeight="1" x14ac:dyDescent="0.25">
      <c r="A168" s="343"/>
      <c r="B168" s="385">
        <v>690</v>
      </c>
      <c r="C168" s="344" t="s">
        <v>689</v>
      </c>
      <c r="D168" s="345">
        <v>4405</v>
      </c>
      <c r="E168" s="345" t="s">
        <v>530</v>
      </c>
      <c r="F168" s="406" t="s">
        <v>531</v>
      </c>
      <c r="G168" s="407"/>
      <c r="H168" s="130">
        <f t="shared" si="16"/>
        <v>6400</v>
      </c>
      <c r="I168" s="130">
        <v>0</v>
      </c>
      <c r="J168" s="130">
        <v>0</v>
      </c>
      <c r="K168" s="130">
        <v>200</v>
      </c>
      <c r="L168" s="43">
        <v>1200</v>
      </c>
      <c r="M168" s="130">
        <v>5000</v>
      </c>
      <c r="N168" s="130">
        <v>0</v>
      </c>
      <c r="O168" s="130">
        <v>0</v>
      </c>
      <c r="P168" s="130">
        <v>0</v>
      </c>
      <c r="Q168" s="364" t="s">
        <v>539</v>
      </c>
    </row>
    <row r="169" spans="1:17" s="349" customFormat="1" ht="57" customHeight="1" x14ac:dyDescent="0.25">
      <c r="A169" s="343">
        <v>14</v>
      </c>
      <c r="B169" s="385">
        <v>692</v>
      </c>
      <c r="C169" s="344" t="s">
        <v>746</v>
      </c>
      <c r="D169" s="345">
        <v>4264</v>
      </c>
      <c r="E169" s="345" t="s">
        <v>525</v>
      </c>
      <c r="F169" s="346">
        <v>191000</v>
      </c>
      <c r="G169" s="347" t="s">
        <v>603</v>
      </c>
      <c r="H169" s="130">
        <f t="shared" si="16"/>
        <v>191000</v>
      </c>
      <c r="I169" s="130">
        <v>0</v>
      </c>
      <c r="J169" s="130">
        <v>2015.26</v>
      </c>
      <c r="K169" s="130">
        <v>8984.74</v>
      </c>
      <c r="L169" s="43">
        <v>2000</v>
      </c>
      <c r="M169" s="130">
        <v>178000</v>
      </c>
      <c r="N169" s="130">
        <v>0</v>
      </c>
      <c r="O169" s="130">
        <v>0</v>
      </c>
      <c r="P169" s="130">
        <v>0</v>
      </c>
      <c r="Q169" s="348" t="s">
        <v>690</v>
      </c>
    </row>
    <row r="170" spans="1:17" s="349" customFormat="1" ht="34.5" customHeight="1" x14ac:dyDescent="0.25">
      <c r="A170" s="343">
        <v>13</v>
      </c>
      <c r="B170" s="385">
        <v>694</v>
      </c>
      <c r="C170" s="344" t="s">
        <v>691</v>
      </c>
      <c r="D170" s="345">
        <v>4102</v>
      </c>
      <c r="E170" s="345" t="s">
        <v>536</v>
      </c>
      <c r="F170" s="406" t="s">
        <v>531</v>
      </c>
      <c r="G170" s="407"/>
      <c r="H170" s="130">
        <f>L170</f>
        <v>25000</v>
      </c>
      <c r="I170" s="130">
        <v>0</v>
      </c>
      <c r="J170" s="130">
        <v>0</v>
      </c>
      <c r="K170" s="130">
        <v>35052.089999999997</v>
      </c>
      <c r="L170" s="43">
        <v>25000</v>
      </c>
      <c r="M170" s="130">
        <v>0</v>
      </c>
      <c r="N170" s="130">
        <v>0</v>
      </c>
      <c r="O170" s="130">
        <v>0</v>
      </c>
      <c r="P170" s="130">
        <v>0</v>
      </c>
      <c r="Q170" s="348" t="s">
        <v>532</v>
      </c>
    </row>
    <row r="171" spans="1:17" s="349" customFormat="1" ht="15.75" customHeight="1" x14ac:dyDescent="0.25">
      <c r="A171" s="343"/>
      <c r="B171" s="359" t="s">
        <v>44</v>
      </c>
      <c r="C171" s="360"/>
      <c r="D171" s="350"/>
      <c r="E171" s="350"/>
      <c r="F171" s="361"/>
      <c r="G171" s="352"/>
      <c r="H171" s="353">
        <f t="shared" ref="H171:O171" si="17">SUM(H69:H170)</f>
        <v>2642113.2132800003</v>
      </c>
      <c r="I171" s="353">
        <f t="shared" si="17"/>
        <v>12384.51</v>
      </c>
      <c r="J171" s="353">
        <f t="shared" si="17"/>
        <v>30930.473279999998</v>
      </c>
      <c r="K171" s="353">
        <f t="shared" si="17"/>
        <v>305178.06999999995</v>
      </c>
      <c r="L171" s="353">
        <f t="shared" si="17"/>
        <v>905257.2</v>
      </c>
      <c r="M171" s="353">
        <f t="shared" si="17"/>
        <v>1030275.05</v>
      </c>
      <c r="N171" s="353">
        <f t="shared" si="17"/>
        <v>393140</v>
      </c>
      <c r="O171" s="353">
        <f t="shared" si="17"/>
        <v>0</v>
      </c>
      <c r="P171" s="353">
        <f>SUM(P69:P170)</f>
        <v>0</v>
      </c>
      <c r="Q171" s="354"/>
    </row>
    <row r="172" spans="1:17" s="342" customFormat="1" ht="18" customHeight="1" x14ac:dyDescent="0.25">
      <c r="A172" s="336"/>
      <c r="B172" s="337" t="s">
        <v>45</v>
      </c>
      <c r="C172" s="338"/>
      <c r="D172" s="336"/>
      <c r="E172" s="336"/>
      <c r="F172" s="339"/>
      <c r="G172" s="340"/>
      <c r="H172" s="338"/>
      <c r="I172" s="338"/>
      <c r="J172" s="338"/>
      <c r="K172" s="338"/>
      <c r="L172" s="338"/>
      <c r="M172" s="338"/>
      <c r="N172" s="338"/>
      <c r="O172" s="338"/>
      <c r="P172" s="338"/>
      <c r="Q172" s="341"/>
    </row>
    <row r="173" spans="1:17" s="349" customFormat="1" ht="15" customHeight="1" x14ac:dyDescent="0.25">
      <c r="A173" s="343">
        <v>7</v>
      </c>
      <c r="B173" s="385">
        <v>809</v>
      </c>
      <c r="C173" s="344" t="s">
        <v>692</v>
      </c>
      <c r="D173" s="345">
        <v>5100</v>
      </c>
      <c r="E173" s="345" t="s">
        <v>530</v>
      </c>
      <c r="F173" s="406" t="s">
        <v>531</v>
      </c>
      <c r="G173" s="407"/>
      <c r="H173" s="130">
        <f t="shared" ref="H173:H196" si="18">I173+J173+K173+L173+M173+N173+O173+P173</f>
        <v>364401.01</v>
      </c>
      <c r="I173" s="130">
        <v>0</v>
      </c>
      <c r="J173" s="130">
        <v>150639</v>
      </c>
      <c r="K173" s="130">
        <v>54504.01</v>
      </c>
      <c r="L173" s="43">
        <v>19308</v>
      </c>
      <c r="M173" s="130">
        <v>19492</v>
      </c>
      <c r="N173" s="130">
        <v>19672</v>
      </c>
      <c r="O173" s="130">
        <v>19837</v>
      </c>
      <c r="P173" s="130">
        <v>80949</v>
      </c>
      <c r="Q173" s="364" t="s">
        <v>539</v>
      </c>
    </row>
    <row r="174" spans="1:17" s="349" customFormat="1" ht="24" customHeight="1" x14ac:dyDescent="0.25">
      <c r="A174" s="343">
        <v>7</v>
      </c>
      <c r="B174" s="385">
        <v>811</v>
      </c>
      <c r="C174" s="344" t="s">
        <v>693</v>
      </c>
      <c r="D174" s="345">
        <v>4215</v>
      </c>
      <c r="E174" s="345" t="s">
        <v>530</v>
      </c>
      <c r="F174" s="406" t="s">
        <v>531</v>
      </c>
      <c r="G174" s="407"/>
      <c r="H174" s="130">
        <f t="shared" si="18"/>
        <v>144500</v>
      </c>
      <c r="I174" s="130">
        <v>0</v>
      </c>
      <c r="J174" s="130">
        <v>1862.19</v>
      </c>
      <c r="K174" s="130">
        <v>16637.810000000001</v>
      </c>
      <c r="L174" s="43">
        <v>35000</v>
      </c>
      <c r="M174" s="130">
        <v>45500</v>
      </c>
      <c r="N174" s="130">
        <v>45500</v>
      </c>
      <c r="O174" s="130">
        <v>0</v>
      </c>
      <c r="P174" s="130">
        <v>0</v>
      </c>
      <c r="Q174" s="364" t="s">
        <v>539</v>
      </c>
    </row>
    <row r="175" spans="1:17" s="349" customFormat="1" ht="34.5" customHeight="1" x14ac:dyDescent="0.25">
      <c r="A175" s="343">
        <v>7</v>
      </c>
      <c r="B175" s="385">
        <v>813</v>
      </c>
      <c r="C175" s="344" t="s">
        <v>694</v>
      </c>
      <c r="D175" s="345">
        <v>4298</v>
      </c>
      <c r="E175" s="345" t="s">
        <v>522</v>
      </c>
      <c r="F175" s="406" t="s">
        <v>531</v>
      </c>
      <c r="G175" s="407"/>
      <c r="H175" s="130">
        <f t="shared" si="18"/>
        <v>50000.004000000001</v>
      </c>
      <c r="I175" s="130">
        <v>1000</v>
      </c>
      <c r="J175" s="130">
        <v>3611.8539999999998</v>
      </c>
      <c r="K175" s="130">
        <v>27388.15</v>
      </c>
      <c r="L175" s="43">
        <v>18000</v>
      </c>
      <c r="M175" s="130">
        <v>0</v>
      </c>
      <c r="N175" s="130">
        <v>0</v>
      </c>
      <c r="O175" s="130">
        <v>0</v>
      </c>
      <c r="P175" s="130">
        <v>0</v>
      </c>
      <c r="Q175" s="348" t="s">
        <v>695</v>
      </c>
    </row>
    <row r="176" spans="1:17" s="349" customFormat="1" ht="24" customHeight="1" x14ac:dyDescent="0.25">
      <c r="A176" s="343">
        <v>7</v>
      </c>
      <c r="B176" s="385">
        <v>815</v>
      </c>
      <c r="C176" s="344" t="s">
        <v>696</v>
      </c>
      <c r="D176" s="345">
        <v>4573</v>
      </c>
      <c r="E176" s="345" t="s">
        <v>530</v>
      </c>
      <c r="F176" s="406" t="s">
        <v>531</v>
      </c>
      <c r="G176" s="407"/>
      <c r="H176" s="130">
        <f t="shared" si="18"/>
        <v>3700</v>
      </c>
      <c r="I176" s="130">
        <v>0</v>
      </c>
      <c r="J176" s="130">
        <v>0</v>
      </c>
      <c r="K176" s="130">
        <v>500</v>
      </c>
      <c r="L176" s="43">
        <v>3200</v>
      </c>
      <c r="M176" s="130">
        <v>0</v>
      </c>
      <c r="N176" s="130">
        <v>0</v>
      </c>
      <c r="O176" s="130">
        <v>0</v>
      </c>
      <c r="P176" s="130">
        <v>0</v>
      </c>
      <c r="Q176" s="364" t="s">
        <v>539</v>
      </c>
    </row>
    <row r="177" spans="1:17" s="349" customFormat="1" ht="34.5" customHeight="1" x14ac:dyDescent="0.25">
      <c r="A177" s="343">
        <v>9</v>
      </c>
      <c r="B177" s="385">
        <v>817</v>
      </c>
      <c r="C177" s="344" t="s">
        <v>697</v>
      </c>
      <c r="D177" s="345">
        <v>4349</v>
      </c>
      <c r="E177" s="345" t="s">
        <v>530</v>
      </c>
      <c r="F177" s="406" t="s">
        <v>531</v>
      </c>
      <c r="G177" s="407"/>
      <c r="H177" s="130">
        <f t="shared" si="18"/>
        <v>140061</v>
      </c>
      <c r="I177" s="130">
        <v>3811</v>
      </c>
      <c r="J177" s="130">
        <v>3369.1</v>
      </c>
      <c r="K177" s="130">
        <v>62880.9</v>
      </c>
      <c r="L177" s="43">
        <v>70000</v>
      </c>
      <c r="M177" s="130">
        <v>0</v>
      </c>
      <c r="N177" s="130">
        <v>0</v>
      </c>
      <c r="O177" s="130">
        <v>0</v>
      </c>
      <c r="P177" s="130">
        <v>0</v>
      </c>
      <c r="Q177" s="364" t="s">
        <v>539</v>
      </c>
    </row>
    <row r="178" spans="1:17" s="349" customFormat="1" ht="24" customHeight="1" x14ac:dyDescent="0.25">
      <c r="A178" s="343">
        <v>7</v>
      </c>
      <c r="B178" s="385">
        <v>819</v>
      </c>
      <c r="C178" s="344" t="s">
        <v>698</v>
      </c>
      <c r="D178" s="345">
        <v>4408</v>
      </c>
      <c r="E178" s="345" t="s">
        <v>530</v>
      </c>
      <c r="F178" s="406" t="s">
        <v>531</v>
      </c>
      <c r="G178" s="407"/>
      <c r="H178" s="130">
        <f t="shared" si="18"/>
        <v>67000</v>
      </c>
      <c r="I178" s="130">
        <v>0</v>
      </c>
      <c r="J178" s="130">
        <v>2000</v>
      </c>
      <c r="K178" s="130">
        <v>0</v>
      </c>
      <c r="L178" s="43">
        <v>30000</v>
      </c>
      <c r="M178" s="130">
        <v>35000</v>
      </c>
      <c r="N178" s="130">
        <v>0</v>
      </c>
      <c r="O178" s="130">
        <v>0</v>
      </c>
      <c r="P178" s="130">
        <v>0</v>
      </c>
      <c r="Q178" s="364" t="s">
        <v>539</v>
      </c>
    </row>
    <row r="179" spans="1:17" s="349" customFormat="1" ht="24" customHeight="1" x14ac:dyDescent="0.25">
      <c r="A179" s="343">
        <v>7</v>
      </c>
      <c r="B179" s="385">
        <v>821</v>
      </c>
      <c r="C179" s="344" t="s">
        <v>699</v>
      </c>
      <c r="D179" s="345">
        <v>4224</v>
      </c>
      <c r="E179" s="345" t="s">
        <v>530</v>
      </c>
      <c r="F179" s="406" t="s">
        <v>531</v>
      </c>
      <c r="G179" s="407"/>
      <c r="H179" s="130">
        <f t="shared" si="18"/>
        <v>44817.36</v>
      </c>
      <c r="I179" s="130">
        <v>0</v>
      </c>
      <c r="J179" s="130">
        <v>817.36</v>
      </c>
      <c r="K179" s="130">
        <v>10000</v>
      </c>
      <c r="L179" s="43">
        <v>34000</v>
      </c>
      <c r="M179" s="130">
        <v>0</v>
      </c>
      <c r="N179" s="130">
        <v>0</v>
      </c>
      <c r="O179" s="130">
        <v>0</v>
      </c>
      <c r="P179" s="130">
        <v>0</v>
      </c>
      <c r="Q179" s="364" t="s">
        <v>539</v>
      </c>
    </row>
    <row r="180" spans="1:17" s="349" customFormat="1" ht="24" customHeight="1" x14ac:dyDescent="0.25">
      <c r="A180" s="343">
        <v>7</v>
      </c>
      <c r="B180" s="385">
        <v>823</v>
      </c>
      <c r="C180" s="344" t="s">
        <v>700</v>
      </c>
      <c r="D180" s="345">
        <v>4589</v>
      </c>
      <c r="E180" s="345" t="s">
        <v>530</v>
      </c>
      <c r="F180" s="406" t="s">
        <v>531</v>
      </c>
      <c r="G180" s="407"/>
      <c r="H180" s="130">
        <f t="shared" si="18"/>
        <v>18920</v>
      </c>
      <c r="I180" s="130">
        <v>4920</v>
      </c>
      <c r="J180" s="130">
        <v>0</v>
      </c>
      <c r="K180" s="130">
        <v>2000</v>
      </c>
      <c r="L180" s="43">
        <v>12000</v>
      </c>
      <c r="M180" s="130">
        <v>0</v>
      </c>
      <c r="N180" s="130">
        <v>0</v>
      </c>
      <c r="O180" s="130">
        <v>0</v>
      </c>
      <c r="P180" s="130">
        <v>0</v>
      </c>
      <c r="Q180" s="364" t="s">
        <v>539</v>
      </c>
    </row>
    <row r="181" spans="1:17" s="349" customFormat="1" ht="34.5" customHeight="1" x14ac:dyDescent="0.25">
      <c r="A181" s="343">
        <v>7</v>
      </c>
      <c r="B181" s="385">
        <v>825</v>
      </c>
      <c r="C181" s="344" t="s">
        <v>701</v>
      </c>
      <c r="D181" s="345">
        <v>4675</v>
      </c>
      <c r="E181" s="345" t="s">
        <v>530</v>
      </c>
      <c r="F181" s="406" t="s">
        <v>531</v>
      </c>
      <c r="G181" s="407"/>
      <c r="H181" s="130">
        <f t="shared" si="18"/>
        <v>92092</v>
      </c>
      <c r="I181" s="130">
        <v>2092</v>
      </c>
      <c r="J181" s="130">
        <v>0</v>
      </c>
      <c r="K181" s="130">
        <v>10000</v>
      </c>
      <c r="L181" s="43">
        <v>80000</v>
      </c>
      <c r="M181" s="130">
        <v>0</v>
      </c>
      <c r="N181" s="130">
        <v>0</v>
      </c>
      <c r="O181" s="130">
        <v>0</v>
      </c>
      <c r="P181" s="130">
        <v>0</v>
      </c>
      <c r="Q181" s="364" t="s">
        <v>539</v>
      </c>
    </row>
    <row r="182" spans="1:17" s="349" customFormat="1" ht="34.5" customHeight="1" x14ac:dyDescent="0.25">
      <c r="A182" s="343">
        <v>7</v>
      </c>
      <c r="B182" s="385">
        <v>827</v>
      </c>
      <c r="C182" s="344" t="s">
        <v>702</v>
      </c>
      <c r="D182" s="345">
        <v>4677</v>
      </c>
      <c r="E182" s="345" t="s">
        <v>530</v>
      </c>
      <c r="F182" s="406" t="s">
        <v>531</v>
      </c>
      <c r="G182" s="407"/>
      <c r="H182" s="130">
        <f t="shared" si="18"/>
        <v>23600</v>
      </c>
      <c r="I182" s="130">
        <v>600</v>
      </c>
      <c r="J182" s="130">
        <v>0</v>
      </c>
      <c r="K182" s="130">
        <v>0</v>
      </c>
      <c r="L182" s="43">
        <v>23000</v>
      </c>
      <c r="M182" s="130">
        <v>0</v>
      </c>
      <c r="N182" s="130">
        <v>0</v>
      </c>
      <c r="O182" s="130">
        <v>0</v>
      </c>
      <c r="P182" s="130">
        <v>0</v>
      </c>
      <c r="Q182" s="348" t="s">
        <v>703</v>
      </c>
    </row>
    <row r="183" spans="1:17" s="349" customFormat="1" ht="24" customHeight="1" x14ac:dyDescent="0.25">
      <c r="A183" s="343">
        <v>7</v>
      </c>
      <c r="B183" s="385">
        <v>829</v>
      </c>
      <c r="C183" s="344" t="s">
        <v>704</v>
      </c>
      <c r="D183" s="345">
        <v>4678</v>
      </c>
      <c r="E183" s="345" t="s">
        <v>530</v>
      </c>
      <c r="F183" s="406" t="s">
        <v>531</v>
      </c>
      <c r="G183" s="407"/>
      <c r="H183" s="130">
        <f t="shared" si="18"/>
        <v>6000</v>
      </c>
      <c r="I183" s="130">
        <v>500</v>
      </c>
      <c r="J183" s="130">
        <v>0</v>
      </c>
      <c r="K183" s="130">
        <v>0</v>
      </c>
      <c r="L183" s="43">
        <v>5500</v>
      </c>
      <c r="M183" s="130">
        <v>0</v>
      </c>
      <c r="N183" s="130">
        <v>0</v>
      </c>
      <c r="O183" s="130">
        <v>0</v>
      </c>
      <c r="P183" s="130">
        <v>0</v>
      </c>
      <c r="Q183" s="364" t="s">
        <v>539</v>
      </c>
    </row>
    <row r="184" spans="1:17" s="349" customFormat="1" ht="34.5" customHeight="1" x14ac:dyDescent="0.25">
      <c r="A184" s="343">
        <v>7</v>
      </c>
      <c r="B184" s="385">
        <v>831</v>
      </c>
      <c r="C184" s="344" t="s">
        <v>705</v>
      </c>
      <c r="D184" s="345">
        <v>4679</v>
      </c>
      <c r="E184" s="345" t="s">
        <v>530</v>
      </c>
      <c r="F184" s="406" t="s">
        <v>531</v>
      </c>
      <c r="G184" s="407"/>
      <c r="H184" s="130">
        <f t="shared" si="18"/>
        <v>1434</v>
      </c>
      <c r="I184" s="130">
        <v>0</v>
      </c>
      <c r="J184" s="130">
        <v>0</v>
      </c>
      <c r="K184" s="130">
        <v>0</v>
      </c>
      <c r="L184" s="43">
        <v>1434</v>
      </c>
      <c r="M184" s="130">
        <v>0</v>
      </c>
      <c r="N184" s="130">
        <v>0</v>
      </c>
      <c r="O184" s="130">
        <v>0</v>
      </c>
      <c r="P184" s="130">
        <v>0</v>
      </c>
      <c r="Q184" s="364" t="s">
        <v>539</v>
      </c>
    </row>
    <row r="185" spans="1:17" s="349" customFormat="1" ht="24" customHeight="1" x14ac:dyDescent="0.25">
      <c r="A185" s="343">
        <v>7</v>
      </c>
      <c r="B185" s="385">
        <v>833</v>
      </c>
      <c r="C185" s="344" t="s">
        <v>706</v>
      </c>
      <c r="D185" s="345">
        <v>4680</v>
      </c>
      <c r="E185" s="345" t="s">
        <v>530</v>
      </c>
      <c r="F185" s="406" t="s">
        <v>531</v>
      </c>
      <c r="G185" s="407"/>
      <c r="H185" s="130">
        <f t="shared" si="18"/>
        <v>2000</v>
      </c>
      <c r="I185" s="130">
        <v>0</v>
      </c>
      <c r="J185" s="130">
        <v>0</v>
      </c>
      <c r="K185" s="130">
        <v>0</v>
      </c>
      <c r="L185" s="43">
        <v>2000</v>
      </c>
      <c r="M185" s="130">
        <v>0</v>
      </c>
      <c r="N185" s="130">
        <v>0</v>
      </c>
      <c r="O185" s="130">
        <v>0</v>
      </c>
      <c r="P185" s="130">
        <v>0</v>
      </c>
      <c r="Q185" s="364" t="s">
        <v>539</v>
      </c>
    </row>
    <row r="186" spans="1:17" s="349" customFormat="1" ht="24" customHeight="1" x14ac:dyDescent="0.25">
      <c r="A186" s="343">
        <v>7</v>
      </c>
      <c r="B186" s="385">
        <v>835</v>
      </c>
      <c r="C186" s="344" t="s">
        <v>707</v>
      </c>
      <c r="D186" s="345">
        <v>4681</v>
      </c>
      <c r="E186" s="345" t="s">
        <v>530</v>
      </c>
      <c r="F186" s="406" t="s">
        <v>531</v>
      </c>
      <c r="G186" s="407"/>
      <c r="H186" s="130">
        <f t="shared" si="18"/>
        <v>2000</v>
      </c>
      <c r="I186" s="130">
        <v>0</v>
      </c>
      <c r="J186" s="130">
        <v>0</v>
      </c>
      <c r="K186" s="130">
        <v>0</v>
      </c>
      <c r="L186" s="43">
        <v>2000</v>
      </c>
      <c r="M186" s="130">
        <v>0</v>
      </c>
      <c r="N186" s="130">
        <v>0</v>
      </c>
      <c r="O186" s="130">
        <v>0</v>
      </c>
      <c r="P186" s="130">
        <v>0</v>
      </c>
      <c r="Q186" s="364" t="s">
        <v>539</v>
      </c>
    </row>
    <row r="187" spans="1:17" s="349" customFormat="1" ht="24" customHeight="1" x14ac:dyDescent="0.25">
      <c r="A187" s="343">
        <v>7</v>
      </c>
      <c r="B187" s="385">
        <v>837</v>
      </c>
      <c r="C187" s="344" t="s">
        <v>708</v>
      </c>
      <c r="D187" s="345">
        <v>4682</v>
      </c>
      <c r="E187" s="345" t="s">
        <v>530</v>
      </c>
      <c r="F187" s="406" t="s">
        <v>531</v>
      </c>
      <c r="G187" s="407"/>
      <c r="H187" s="130">
        <f t="shared" si="18"/>
        <v>5500</v>
      </c>
      <c r="I187" s="130">
        <v>0</v>
      </c>
      <c r="J187" s="130">
        <v>0</v>
      </c>
      <c r="K187" s="130">
        <v>0</v>
      </c>
      <c r="L187" s="43">
        <v>5500</v>
      </c>
      <c r="M187" s="130">
        <v>0</v>
      </c>
      <c r="N187" s="130">
        <v>0</v>
      </c>
      <c r="O187" s="130">
        <v>0</v>
      </c>
      <c r="P187" s="130">
        <v>0</v>
      </c>
      <c r="Q187" s="364" t="s">
        <v>539</v>
      </c>
    </row>
    <row r="188" spans="1:17" s="349" customFormat="1" ht="24" customHeight="1" x14ac:dyDescent="0.25">
      <c r="A188" s="343">
        <v>7</v>
      </c>
      <c r="B188" s="385">
        <v>839</v>
      </c>
      <c r="C188" s="344" t="s">
        <v>709</v>
      </c>
      <c r="D188" s="345">
        <v>4683</v>
      </c>
      <c r="E188" s="345" t="s">
        <v>530</v>
      </c>
      <c r="F188" s="406" t="s">
        <v>531</v>
      </c>
      <c r="G188" s="407"/>
      <c r="H188" s="130">
        <f t="shared" si="18"/>
        <v>20000</v>
      </c>
      <c r="I188" s="130">
        <v>0</v>
      </c>
      <c r="J188" s="130">
        <v>0</v>
      </c>
      <c r="K188" s="130">
        <v>0</v>
      </c>
      <c r="L188" s="43">
        <v>20000</v>
      </c>
      <c r="M188" s="130">
        <v>0</v>
      </c>
      <c r="N188" s="130">
        <v>0</v>
      </c>
      <c r="O188" s="130">
        <v>0</v>
      </c>
      <c r="P188" s="130">
        <v>0</v>
      </c>
      <c r="Q188" s="364" t="s">
        <v>539</v>
      </c>
    </row>
    <row r="189" spans="1:17" s="349" customFormat="1" ht="24" customHeight="1" x14ac:dyDescent="0.25">
      <c r="A189" s="343">
        <v>7</v>
      </c>
      <c r="B189" s="385">
        <v>841</v>
      </c>
      <c r="C189" s="344" t="s">
        <v>710</v>
      </c>
      <c r="D189" s="345">
        <v>4684</v>
      </c>
      <c r="E189" s="345" t="s">
        <v>530</v>
      </c>
      <c r="F189" s="406" t="s">
        <v>531</v>
      </c>
      <c r="G189" s="407"/>
      <c r="H189" s="130">
        <f t="shared" si="18"/>
        <v>8500</v>
      </c>
      <c r="I189" s="130">
        <v>0</v>
      </c>
      <c r="J189" s="130">
        <v>0</v>
      </c>
      <c r="K189" s="130">
        <v>0</v>
      </c>
      <c r="L189" s="43">
        <v>8500</v>
      </c>
      <c r="M189" s="130">
        <v>0</v>
      </c>
      <c r="N189" s="130">
        <v>0</v>
      </c>
      <c r="O189" s="130">
        <v>0</v>
      </c>
      <c r="P189" s="130">
        <v>0</v>
      </c>
      <c r="Q189" s="364" t="s">
        <v>539</v>
      </c>
    </row>
    <row r="190" spans="1:17" s="349" customFormat="1" ht="24" customHeight="1" x14ac:dyDescent="0.25">
      <c r="A190" s="343">
        <v>7</v>
      </c>
      <c r="B190" s="385">
        <v>843</v>
      </c>
      <c r="C190" s="344" t="s">
        <v>711</v>
      </c>
      <c r="D190" s="345">
        <v>4685</v>
      </c>
      <c r="E190" s="345" t="s">
        <v>530</v>
      </c>
      <c r="F190" s="406" t="s">
        <v>531</v>
      </c>
      <c r="G190" s="407"/>
      <c r="H190" s="130">
        <f t="shared" si="18"/>
        <v>1561</v>
      </c>
      <c r="I190" s="130">
        <v>61</v>
      </c>
      <c r="J190" s="130">
        <v>0</v>
      </c>
      <c r="K190" s="130">
        <v>0</v>
      </c>
      <c r="L190" s="43">
        <v>1500</v>
      </c>
      <c r="M190" s="130">
        <v>0</v>
      </c>
      <c r="N190" s="130">
        <v>0</v>
      </c>
      <c r="O190" s="130">
        <v>0</v>
      </c>
      <c r="P190" s="130">
        <v>0</v>
      </c>
      <c r="Q190" s="364" t="s">
        <v>539</v>
      </c>
    </row>
    <row r="191" spans="1:17" s="349" customFormat="1" ht="24" customHeight="1" x14ac:dyDescent="0.25">
      <c r="A191" s="343">
        <v>7</v>
      </c>
      <c r="B191" s="385">
        <v>845</v>
      </c>
      <c r="C191" s="344" t="s">
        <v>712</v>
      </c>
      <c r="D191" s="345">
        <v>4686</v>
      </c>
      <c r="E191" s="345" t="s">
        <v>530</v>
      </c>
      <c r="F191" s="406" t="s">
        <v>531</v>
      </c>
      <c r="G191" s="407"/>
      <c r="H191" s="130">
        <f t="shared" si="18"/>
        <v>15000</v>
      </c>
      <c r="I191" s="130">
        <v>0</v>
      </c>
      <c r="J191" s="130">
        <v>0</v>
      </c>
      <c r="K191" s="130">
        <v>0</v>
      </c>
      <c r="L191" s="43">
        <v>600</v>
      </c>
      <c r="M191" s="130">
        <v>14400</v>
      </c>
      <c r="N191" s="130">
        <v>0</v>
      </c>
      <c r="O191" s="130">
        <v>0</v>
      </c>
      <c r="P191" s="130">
        <v>0</v>
      </c>
      <c r="Q191" s="364" t="s">
        <v>539</v>
      </c>
    </row>
    <row r="192" spans="1:17" s="349" customFormat="1" ht="24" customHeight="1" x14ac:dyDescent="0.25">
      <c r="A192" s="343">
        <v>7</v>
      </c>
      <c r="B192" s="385">
        <v>847</v>
      </c>
      <c r="C192" s="344" t="s">
        <v>713</v>
      </c>
      <c r="D192" s="345">
        <v>4687</v>
      </c>
      <c r="E192" s="345" t="s">
        <v>530</v>
      </c>
      <c r="F192" s="406" t="s">
        <v>531</v>
      </c>
      <c r="G192" s="407"/>
      <c r="H192" s="130">
        <f t="shared" si="18"/>
        <v>16500</v>
      </c>
      <c r="I192" s="130">
        <v>0</v>
      </c>
      <c r="J192" s="130">
        <v>0</v>
      </c>
      <c r="K192" s="130">
        <v>0</v>
      </c>
      <c r="L192" s="43">
        <v>1500</v>
      </c>
      <c r="M192" s="130">
        <v>7500</v>
      </c>
      <c r="N192" s="130">
        <v>7500</v>
      </c>
      <c r="O192" s="130">
        <v>0</v>
      </c>
      <c r="P192" s="130">
        <v>0</v>
      </c>
      <c r="Q192" s="364" t="s">
        <v>539</v>
      </c>
    </row>
    <row r="193" spans="1:17" s="349" customFormat="1" ht="34.5" customHeight="1" x14ac:dyDescent="0.25">
      <c r="A193" s="343">
        <v>7</v>
      </c>
      <c r="B193" s="385">
        <v>849</v>
      </c>
      <c r="C193" s="344" t="s">
        <v>714</v>
      </c>
      <c r="D193" s="345">
        <v>4688</v>
      </c>
      <c r="E193" s="345" t="s">
        <v>530</v>
      </c>
      <c r="F193" s="406" t="s">
        <v>531</v>
      </c>
      <c r="G193" s="407"/>
      <c r="H193" s="130">
        <f t="shared" si="18"/>
        <v>2600</v>
      </c>
      <c r="I193" s="130">
        <v>100</v>
      </c>
      <c r="J193" s="130">
        <v>0</v>
      </c>
      <c r="K193" s="130">
        <v>0</v>
      </c>
      <c r="L193" s="43">
        <v>2500</v>
      </c>
      <c r="M193" s="130">
        <v>0</v>
      </c>
      <c r="N193" s="130">
        <v>0</v>
      </c>
      <c r="O193" s="130">
        <v>0</v>
      </c>
      <c r="P193" s="130">
        <v>0</v>
      </c>
      <c r="Q193" s="364" t="s">
        <v>539</v>
      </c>
    </row>
    <row r="194" spans="1:17" s="349" customFormat="1" ht="24" customHeight="1" x14ac:dyDescent="0.25">
      <c r="A194" s="343">
        <v>9</v>
      </c>
      <c r="B194" s="385">
        <v>851</v>
      </c>
      <c r="C194" s="344" t="s">
        <v>715</v>
      </c>
      <c r="D194" s="345">
        <v>5912</v>
      </c>
      <c r="E194" s="345" t="s">
        <v>536</v>
      </c>
      <c r="F194" s="406" t="s">
        <v>531</v>
      </c>
      <c r="G194" s="407"/>
      <c r="H194" s="130">
        <f>I194+J194+K194+L194+M194+N194+O194+P194</f>
        <v>190872.28999999998</v>
      </c>
      <c r="I194" s="130">
        <f>2500+4500</f>
        <v>7000</v>
      </c>
      <c r="J194" s="130">
        <v>0</v>
      </c>
      <c r="K194" s="130">
        <v>76497.289999999994</v>
      </c>
      <c r="L194" s="43">
        <v>32375</v>
      </c>
      <c r="M194" s="130">
        <v>75000</v>
      </c>
      <c r="N194" s="130">
        <v>0</v>
      </c>
      <c r="O194" s="130">
        <v>0</v>
      </c>
      <c r="P194" s="130">
        <v>0</v>
      </c>
      <c r="Q194" s="364" t="s">
        <v>539</v>
      </c>
    </row>
    <row r="195" spans="1:17" s="349" customFormat="1" ht="34.5" customHeight="1" x14ac:dyDescent="0.25">
      <c r="A195" s="343">
        <v>9</v>
      </c>
      <c r="B195" s="385">
        <v>852</v>
      </c>
      <c r="C195" s="344" t="s">
        <v>716</v>
      </c>
      <c r="D195" s="345">
        <v>5693</v>
      </c>
      <c r="E195" s="345" t="s">
        <v>536</v>
      </c>
      <c r="F195" s="406" t="s">
        <v>531</v>
      </c>
      <c r="G195" s="407"/>
      <c r="H195" s="130">
        <f>L195</f>
        <v>50000</v>
      </c>
      <c r="I195" s="130">
        <v>0</v>
      </c>
      <c r="J195" s="130">
        <v>0</v>
      </c>
      <c r="K195" s="130">
        <v>87853.04</v>
      </c>
      <c r="L195" s="43">
        <v>50000</v>
      </c>
      <c r="M195" s="130">
        <v>0</v>
      </c>
      <c r="N195" s="130">
        <v>0</v>
      </c>
      <c r="O195" s="130">
        <v>0</v>
      </c>
      <c r="P195" s="130">
        <v>0</v>
      </c>
      <c r="Q195" s="348" t="s">
        <v>532</v>
      </c>
    </row>
    <row r="196" spans="1:17" s="349" customFormat="1" ht="34.5" customHeight="1" x14ac:dyDescent="0.25">
      <c r="A196" s="343">
        <v>9</v>
      </c>
      <c r="B196" s="385">
        <v>853</v>
      </c>
      <c r="C196" s="344" t="s">
        <v>717</v>
      </c>
      <c r="D196" s="345">
        <v>5162</v>
      </c>
      <c r="E196" s="345" t="s">
        <v>536</v>
      </c>
      <c r="F196" s="406" t="s">
        <v>531</v>
      </c>
      <c r="G196" s="407"/>
      <c r="H196" s="130">
        <f t="shared" si="18"/>
        <v>80810</v>
      </c>
      <c r="I196" s="130">
        <v>0</v>
      </c>
      <c r="J196" s="130">
        <v>0</v>
      </c>
      <c r="K196" s="130">
        <v>50810</v>
      </c>
      <c r="L196" s="43">
        <v>30000</v>
      </c>
      <c r="M196" s="130">
        <v>0</v>
      </c>
      <c r="N196" s="130">
        <v>0</v>
      </c>
      <c r="O196" s="130">
        <v>0</v>
      </c>
      <c r="P196" s="130">
        <v>0</v>
      </c>
      <c r="Q196" s="348" t="s">
        <v>532</v>
      </c>
    </row>
    <row r="197" spans="1:17" s="349" customFormat="1" ht="15.75" customHeight="1" x14ac:dyDescent="0.25">
      <c r="A197" s="343"/>
      <c r="B197" s="359" t="s">
        <v>46</v>
      </c>
      <c r="C197" s="360"/>
      <c r="D197" s="350"/>
      <c r="E197" s="350"/>
      <c r="F197" s="361"/>
      <c r="G197" s="352"/>
      <c r="H197" s="353">
        <f t="shared" ref="H197:O197" si="19">SUM(H173:H196)</f>
        <v>1351868.6639999999</v>
      </c>
      <c r="I197" s="353">
        <f t="shared" si="19"/>
        <v>20084</v>
      </c>
      <c r="J197" s="353">
        <f t="shared" si="19"/>
        <v>162299.50399999999</v>
      </c>
      <c r="K197" s="353">
        <f t="shared" si="19"/>
        <v>399071.19999999995</v>
      </c>
      <c r="L197" s="353">
        <f t="shared" si="19"/>
        <v>487917</v>
      </c>
      <c r="M197" s="353">
        <f t="shared" si="19"/>
        <v>196892</v>
      </c>
      <c r="N197" s="353">
        <f t="shared" si="19"/>
        <v>72672</v>
      </c>
      <c r="O197" s="353">
        <f t="shared" si="19"/>
        <v>19837</v>
      </c>
      <c r="P197" s="353">
        <f>SUM(P173:P196)</f>
        <v>80949</v>
      </c>
      <c r="Q197" s="354"/>
    </row>
    <row r="198" spans="1:17" s="342" customFormat="1" ht="18" customHeight="1" x14ac:dyDescent="0.25">
      <c r="A198" s="336"/>
      <c r="B198" s="337" t="s">
        <v>53</v>
      </c>
      <c r="C198" s="338"/>
      <c r="D198" s="336"/>
      <c r="E198" s="336"/>
      <c r="F198" s="339"/>
      <c r="G198" s="340"/>
      <c r="H198" s="338"/>
      <c r="I198" s="338"/>
      <c r="J198" s="338"/>
      <c r="K198" s="338"/>
      <c r="L198" s="338"/>
      <c r="M198" s="338"/>
      <c r="N198" s="338"/>
      <c r="O198" s="338"/>
      <c r="P198" s="338"/>
      <c r="Q198" s="341"/>
    </row>
    <row r="199" spans="1:17" s="349" customFormat="1" ht="24" customHeight="1" x14ac:dyDescent="0.25">
      <c r="A199" s="387">
        <v>12</v>
      </c>
      <c r="B199" s="385">
        <v>896</v>
      </c>
      <c r="C199" s="344" t="s">
        <v>718</v>
      </c>
      <c r="D199" s="345">
        <v>5349</v>
      </c>
      <c r="E199" s="345" t="s">
        <v>525</v>
      </c>
      <c r="F199" s="346">
        <v>4660</v>
      </c>
      <c r="G199" s="347" t="s">
        <v>719</v>
      </c>
      <c r="H199" s="130">
        <f>I199+J199+K199+L199+M199+N199+O199+P199</f>
        <v>4660.2369699999999</v>
      </c>
      <c r="I199" s="130">
        <v>0</v>
      </c>
      <c r="J199" s="130">
        <v>872.23697000000004</v>
      </c>
      <c r="K199" s="130">
        <v>3388</v>
      </c>
      <c r="L199" s="43">
        <v>100</v>
      </c>
      <c r="M199" s="130">
        <v>100</v>
      </c>
      <c r="N199" s="130">
        <v>100</v>
      </c>
      <c r="O199" s="130">
        <v>100</v>
      </c>
      <c r="P199" s="130">
        <v>0</v>
      </c>
      <c r="Q199" s="364" t="s">
        <v>539</v>
      </c>
    </row>
    <row r="200" spans="1:17" s="349" customFormat="1" ht="34.5" customHeight="1" x14ac:dyDescent="0.25">
      <c r="A200" s="387">
        <v>12</v>
      </c>
      <c r="B200" s="386">
        <v>898</v>
      </c>
      <c r="C200" s="355" t="s">
        <v>720</v>
      </c>
      <c r="D200" s="356">
        <v>4303</v>
      </c>
      <c r="E200" s="345" t="s">
        <v>522</v>
      </c>
      <c r="F200" s="406" t="s">
        <v>531</v>
      </c>
      <c r="G200" s="407"/>
      <c r="H200" s="357">
        <f>L200</f>
        <v>50000</v>
      </c>
      <c r="I200" s="357">
        <v>0</v>
      </c>
      <c r="J200" s="357">
        <v>727.21</v>
      </c>
      <c r="K200" s="357">
        <v>20857.099999999999</v>
      </c>
      <c r="L200" s="358">
        <v>50000</v>
      </c>
      <c r="M200" s="357">
        <v>0</v>
      </c>
      <c r="N200" s="357">
        <v>0</v>
      </c>
      <c r="O200" s="357">
        <v>0</v>
      </c>
      <c r="P200" s="357">
        <v>0</v>
      </c>
      <c r="Q200" s="348" t="s">
        <v>532</v>
      </c>
    </row>
    <row r="201" spans="1:17" s="349" customFormat="1" ht="15.75" customHeight="1" x14ac:dyDescent="0.25">
      <c r="A201" s="343"/>
      <c r="B201" s="359" t="s">
        <v>54</v>
      </c>
      <c r="C201" s="360"/>
      <c r="D201" s="350"/>
      <c r="E201" s="350"/>
      <c r="F201" s="361"/>
      <c r="G201" s="352"/>
      <c r="H201" s="353">
        <f t="shared" ref="H201:O201" si="20">SUM(H199:H200)</f>
        <v>54660.236969999998</v>
      </c>
      <c r="I201" s="353">
        <f t="shared" si="20"/>
        <v>0</v>
      </c>
      <c r="J201" s="353">
        <f t="shared" si="20"/>
        <v>1599.44697</v>
      </c>
      <c r="K201" s="353">
        <f t="shared" si="20"/>
        <v>24245.1</v>
      </c>
      <c r="L201" s="353">
        <f t="shared" si="20"/>
        <v>50100</v>
      </c>
      <c r="M201" s="353">
        <f t="shared" si="20"/>
        <v>100</v>
      </c>
      <c r="N201" s="353">
        <f t="shared" si="20"/>
        <v>100</v>
      </c>
      <c r="O201" s="353">
        <f t="shared" si="20"/>
        <v>100</v>
      </c>
      <c r="P201" s="353">
        <f>SUM(P199:P200)</f>
        <v>0</v>
      </c>
      <c r="Q201" s="354"/>
    </row>
    <row r="202" spans="1:17" s="349" customFormat="1" ht="9.75" customHeight="1" thickBot="1" x14ac:dyDescent="0.3">
      <c r="A202" s="343"/>
      <c r="B202" s="366"/>
      <c r="C202" s="367"/>
      <c r="D202" s="368"/>
      <c r="E202" s="368"/>
      <c r="F202" s="369"/>
      <c r="G202" s="370"/>
      <c r="H202" s="371"/>
      <c r="I202" s="371"/>
      <c r="J202" s="371"/>
      <c r="K202" s="371"/>
      <c r="L202" s="371"/>
      <c r="M202" s="371"/>
      <c r="N202" s="371"/>
      <c r="O202" s="371"/>
      <c r="P202" s="371"/>
      <c r="Q202" s="372"/>
    </row>
    <row r="203" spans="1:17" s="349" customFormat="1" ht="18" customHeight="1" thickBot="1" x14ac:dyDescent="0.3">
      <c r="A203" s="343"/>
      <c r="B203" s="373" t="s">
        <v>32</v>
      </c>
      <c r="C203" s="374"/>
      <c r="D203" s="375"/>
      <c r="E203" s="375"/>
      <c r="F203" s="376"/>
      <c r="G203" s="377"/>
      <c r="H203" s="378">
        <f t="shared" ref="H203:P203" si="21">H201+H197+H171+H67+H56+H39+H36+H30+H12+H8</f>
        <v>6659916.24529</v>
      </c>
      <c r="I203" s="378">
        <f t="shared" si="21"/>
        <v>56624.21</v>
      </c>
      <c r="J203" s="378">
        <f t="shared" si="21"/>
        <v>314665.20528999995</v>
      </c>
      <c r="K203" s="378">
        <f t="shared" si="21"/>
        <v>1969772.73</v>
      </c>
      <c r="L203" s="378">
        <f t="shared" si="21"/>
        <v>2793299.2</v>
      </c>
      <c r="M203" s="378">
        <f t="shared" si="21"/>
        <v>1704278.05</v>
      </c>
      <c r="N203" s="378">
        <f t="shared" si="21"/>
        <v>866188</v>
      </c>
      <c r="O203" s="378">
        <f t="shared" si="21"/>
        <v>116063</v>
      </c>
      <c r="P203" s="378">
        <f t="shared" si="21"/>
        <v>80949</v>
      </c>
      <c r="Q203" s="379"/>
    </row>
    <row r="204" spans="1:17" x14ac:dyDescent="0.15">
      <c r="H204" s="380"/>
      <c r="I204" s="381"/>
      <c r="J204" s="381"/>
      <c r="K204" s="381"/>
      <c r="L204" s="381"/>
      <c r="M204" s="381"/>
      <c r="N204" s="381"/>
      <c r="O204" s="381"/>
      <c r="P204" s="381"/>
    </row>
    <row r="205" spans="1:17" ht="24.75" customHeight="1" x14ac:dyDescent="0.15"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10"/>
      <c r="O205" s="410"/>
      <c r="P205" s="410"/>
      <c r="Q205" s="410"/>
    </row>
    <row r="206" spans="1:17" x14ac:dyDescent="0.15">
      <c r="H206" s="380"/>
      <c r="I206" s="381"/>
      <c r="J206" s="381"/>
      <c r="K206" s="381"/>
      <c r="L206" s="381"/>
      <c r="M206" s="381"/>
      <c r="N206" s="381"/>
      <c r="O206" s="381"/>
      <c r="P206" s="381"/>
    </row>
    <row r="207" spans="1:17" ht="15" x14ac:dyDescent="0.15">
      <c r="B207" s="382"/>
      <c r="H207" s="380"/>
      <c r="I207" s="381"/>
      <c r="J207" s="381"/>
      <c r="K207" s="381"/>
      <c r="L207" s="381"/>
      <c r="M207" s="381"/>
      <c r="N207" s="381"/>
      <c r="O207" s="381"/>
      <c r="P207" s="381"/>
    </row>
    <row r="208" spans="1:17" ht="25.5" customHeight="1" x14ac:dyDescent="0.15">
      <c r="B208" s="383"/>
    </row>
    <row r="209" spans="2:16" ht="15" x14ac:dyDescent="0.15">
      <c r="B209" s="383"/>
      <c r="H209" s="380"/>
      <c r="I209" s="381"/>
      <c r="J209" s="381"/>
      <c r="K209" s="381"/>
      <c r="L209" s="381"/>
      <c r="M209" s="381"/>
      <c r="N209" s="381"/>
      <c r="O209" s="381"/>
      <c r="P209" s="381"/>
    </row>
    <row r="210" spans="2:16" ht="15" x14ac:dyDescent="0.25">
      <c r="C210" s="408"/>
      <c r="D210" s="409"/>
      <c r="E210" s="409"/>
      <c r="F210" s="409"/>
      <c r="G210" s="409"/>
      <c r="H210" s="409"/>
      <c r="I210" s="409"/>
      <c r="J210" s="409"/>
      <c r="K210" s="409"/>
      <c r="L210" s="409"/>
      <c r="M210" s="409"/>
      <c r="N210" s="409"/>
      <c r="O210" s="409"/>
      <c r="P210" s="409"/>
    </row>
  </sheetData>
  <mergeCells count="169">
    <mergeCell ref="K3:K4"/>
    <mergeCell ref="L3:L4"/>
    <mergeCell ref="M3:P3"/>
    <mergeCell ref="Q3:Q4"/>
    <mergeCell ref="B8:C8"/>
    <mergeCell ref="F10:G10"/>
    <mergeCell ref="B1:Q1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F19:G19"/>
    <mergeCell ref="F20:G20"/>
    <mergeCell ref="F21:G21"/>
    <mergeCell ref="F22:G22"/>
    <mergeCell ref="F23:G23"/>
    <mergeCell ref="F24:G24"/>
    <mergeCell ref="F11:G11"/>
    <mergeCell ref="F14:G14"/>
    <mergeCell ref="F15:G15"/>
    <mergeCell ref="F16:G16"/>
    <mergeCell ref="F17:G17"/>
    <mergeCell ref="F18:G18"/>
    <mergeCell ref="F33:G33"/>
    <mergeCell ref="F34:G34"/>
    <mergeCell ref="B36:C36"/>
    <mergeCell ref="F38:G38"/>
    <mergeCell ref="F41:G41"/>
    <mergeCell ref="F42:G42"/>
    <mergeCell ref="F25:G25"/>
    <mergeCell ref="F26:G26"/>
    <mergeCell ref="F27:G27"/>
    <mergeCell ref="F28:G28"/>
    <mergeCell ref="F29:G29"/>
    <mergeCell ref="F32:G32"/>
    <mergeCell ref="F53:G53"/>
    <mergeCell ref="F58:G58"/>
    <mergeCell ref="F60:G60"/>
    <mergeCell ref="F61:G61"/>
    <mergeCell ref="F63:G63"/>
    <mergeCell ref="F64:G64"/>
    <mergeCell ref="F44:G44"/>
    <mergeCell ref="F45:G45"/>
    <mergeCell ref="F48:G48"/>
    <mergeCell ref="F50:G50"/>
    <mergeCell ref="F51:G51"/>
    <mergeCell ref="F52:G52"/>
    <mergeCell ref="F74:G74"/>
    <mergeCell ref="F79:G79"/>
    <mergeCell ref="F81:G81"/>
    <mergeCell ref="F83:G83"/>
    <mergeCell ref="F84:G84"/>
    <mergeCell ref="F85:G85"/>
    <mergeCell ref="F66:G66"/>
    <mergeCell ref="F69:G69"/>
    <mergeCell ref="F70:G70"/>
    <mergeCell ref="F71:G71"/>
    <mergeCell ref="F72:G72"/>
    <mergeCell ref="F73:G73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107:G107"/>
    <mergeCell ref="F109:G109"/>
    <mergeCell ref="F110:G110"/>
    <mergeCell ref="F111:G111"/>
    <mergeCell ref="F112:G112"/>
    <mergeCell ref="F113:G113"/>
    <mergeCell ref="F98:G98"/>
    <mergeCell ref="F101:G101"/>
    <mergeCell ref="F102:G102"/>
    <mergeCell ref="F104:G104"/>
    <mergeCell ref="F105:G105"/>
    <mergeCell ref="F106:G106"/>
    <mergeCell ref="F120:G120"/>
    <mergeCell ref="F121:G121"/>
    <mergeCell ref="F122:G122"/>
    <mergeCell ref="F123:G123"/>
    <mergeCell ref="F124:G124"/>
    <mergeCell ref="F125:G125"/>
    <mergeCell ref="F114:G114"/>
    <mergeCell ref="F115:G115"/>
    <mergeCell ref="F116:G116"/>
    <mergeCell ref="F117:G117"/>
    <mergeCell ref="F118:G118"/>
    <mergeCell ref="F119:G119"/>
    <mergeCell ref="F134:G134"/>
    <mergeCell ref="F135:G135"/>
    <mergeCell ref="F136:G136"/>
    <mergeCell ref="F137:G137"/>
    <mergeCell ref="F138:G138"/>
    <mergeCell ref="F139:G139"/>
    <mergeCell ref="F126:G126"/>
    <mergeCell ref="F127:G127"/>
    <mergeCell ref="F128:G128"/>
    <mergeCell ref="F129:G129"/>
    <mergeCell ref="F131:G131"/>
    <mergeCell ref="F132:G132"/>
    <mergeCell ref="F146:G146"/>
    <mergeCell ref="F147:G147"/>
    <mergeCell ref="F148:G148"/>
    <mergeCell ref="F149:G149"/>
    <mergeCell ref="F150:G150"/>
    <mergeCell ref="F151:G151"/>
    <mergeCell ref="F140:G140"/>
    <mergeCell ref="F141:G141"/>
    <mergeCell ref="F142:G142"/>
    <mergeCell ref="F143:G143"/>
    <mergeCell ref="F144:G144"/>
    <mergeCell ref="F145:G145"/>
    <mergeCell ref="F158:G158"/>
    <mergeCell ref="F159:G159"/>
    <mergeCell ref="F160:G160"/>
    <mergeCell ref="F161:G161"/>
    <mergeCell ref="F162:G162"/>
    <mergeCell ref="F163:G163"/>
    <mergeCell ref="F152:G152"/>
    <mergeCell ref="F153:G153"/>
    <mergeCell ref="F154:G154"/>
    <mergeCell ref="F155:G155"/>
    <mergeCell ref="F156:G156"/>
    <mergeCell ref="F157:G157"/>
    <mergeCell ref="F173:G173"/>
    <mergeCell ref="F174:G174"/>
    <mergeCell ref="F175:G175"/>
    <mergeCell ref="F176:G176"/>
    <mergeCell ref="F177:G177"/>
    <mergeCell ref="F178:G178"/>
    <mergeCell ref="F164:G164"/>
    <mergeCell ref="F165:G165"/>
    <mergeCell ref="F166:G166"/>
    <mergeCell ref="F167:G167"/>
    <mergeCell ref="F168:G168"/>
    <mergeCell ref="F170:G170"/>
    <mergeCell ref="F185:G185"/>
    <mergeCell ref="F186:G186"/>
    <mergeCell ref="F187:G187"/>
    <mergeCell ref="F188:G188"/>
    <mergeCell ref="F189:G189"/>
    <mergeCell ref="F190:G190"/>
    <mergeCell ref="F179:G179"/>
    <mergeCell ref="F180:G180"/>
    <mergeCell ref="F181:G181"/>
    <mergeCell ref="F182:G182"/>
    <mergeCell ref="F183:G183"/>
    <mergeCell ref="F184:G184"/>
    <mergeCell ref="F200:G200"/>
    <mergeCell ref="C210:P210"/>
    <mergeCell ref="B205:Q205"/>
    <mergeCell ref="F191:G191"/>
    <mergeCell ref="F192:G192"/>
    <mergeCell ref="F193:G193"/>
    <mergeCell ref="F194:G194"/>
    <mergeCell ref="F195:G195"/>
    <mergeCell ref="F196:G196"/>
  </mergeCells>
  <pageMargins left="0.39370078740157483" right="0.39370078740157483" top="0.78740157480314965" bottom="0.39370078740157483" header="0.31496062992125984" footer="0.11811023622047245"/>
  <pageSetup paperSize="9" scale="80" firstPageNumber="6" fitToHeight="0" orientation="landscape" useFirstPageNumber="1" r:id="rId1"/>
  <headerFooter>
    <oddHeader>&amp;L&amp;"Tahoma,Kurzíva"&amp;10Návrh rozpočtu na rok 2025
Příloha č. 9&amp;R&amp;"Tahoma,Kurzíva"&amp;10Přehled akcí reprodukce majetku kraje v návrhu rozpočtu kraje na rok 2025</oddHeader>
    <oddFooter>&amp;C&amp;"Tahoma,Obyčejné"&amp;10&amp;P</oddFooter>
  </headerFooter>
  <rowBreaks count="9" manualBreakCount="9">
    <brk id="20" max="16" man="1"/>
    <brk id="42" max="16" man="1"/>
    <brk id="63" max="16" man="1"/>
    <brk id="83" max="16" man="1"/>
    <brk id="103" max="16" man="1"/>
    <brk id="122" max="16" man="1"/>
    <brk id="142" max="16" man="1"/>
    <brk id="163" max="16" man="1"/>
    <brk id="184" max="16" man="1"/>
  </rowBreaks>
  <ignoredErrors>
    <ignoredError sqref="H195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A9E0-3A94-4D26-BFA2-87DC326B05C4}">
  <sheetPr>
    <pageSetUpPr fitToPage="1"/>
  </sheetPr>
  <dimension ref="A1:L202"/>
  <sheetViews>
    <sheetView zoomScaleNormal="100" zoomScaleSheetLayoutView="100" workbookViewId="0">
      <pane ySplit="4" topLeftCell="A5" activePane="bottomLeft" state="frozen"/>
      <selection pane="bottomLeft" activeCell="F147" sqref="F147"/>
    </sheetView>
  </sheetViews>
  <sheetFormatPr defaultRowHeight="15" x14ac:dyDescent="0.25"/>
  <cols>
    <col min="1" max="1" width="6.5703125" style="286" customWidth="1"/>
    <col min="2" max="2" width="44.7109375" style="287" customWidth="1"/>
    <col min="3" max="3" width="9.28515625" style="287" hidden="1" customWidth="1"/>
    <col min="4" max="5" width="9.7109375" style="288" customWidth="1"/>
    <col min="6" max="11" width="9.7109375" style="287" customWidth="1"/>
    <col min="12" max="12" width="39.5703125" style="287" customWidth="1"/>
  </cols>
  <sheetData>
    <row r="1" spans="1:12" s="32" customFormat="1" ht="40.5" customHeight="1" x14ac:dyDescent="0.25">
      <c r="A1" s="432" t="s">
        <v>729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s="32" customFormat="1" ht="13.5" thickBot="1" x14ac:dyDescent="0.3">
      <c r="B2" s="134"/>
      <c r="C2" s="134"/>
      <c r="D2" s="33"/>
      <c r="E2" s="33"/>
      <c r="F2" s="135"/>
      <c r="G2" s="135"/>
      <c r="H2" s="135"/>
      <c r="I2" s="135"/>
      <c r="J2" s="135"/>
      <c r="K2" s="135"/>
      <c r="L2" s="33" t="s">
        <v>31</v>
      </c>
    </row>
    <row r="3" spans="1:12" s="32" customFormat="1" ht="24" customHeight="1" x14ac:dyDescent="0.25">
      <c r="A3" s="433" t="s">
        <v>0</v>
      </c>
      <c r="B3" s="435" t="s">
        <v>34</v>
      </c>
      <c r="C3" s="437" t="s">
        <v>201</v>
      </c>
      <c r="D3" s="439" t="s">
        <v>47</v>
      </c>
      <c r="E3" s="441" t="s">
        <v>420</v>
      </c>
      <c r="F3" s="441" t="s">
        <v>421</v>
      </c>
      <c r="G3" s="439" t="s">
        <v>733</v>
      </c>
      <c r="H3" s="444" t="s">
        <v>126</v>
      </c>
      <c r="I3" s="445"/>
      <c r="J3" s="446"/>
      <c r="K3" s="447"/>
      <c r="L3" s="448" t="s">
        <v>35</v>
      </c>
    </row>
    <row r="4" spans="1:12" s="32" customFormat="1" ht="24" customHeight="1" x14ac:dyDescent="0.25">
      <c r="A4" s="434"/>
      <c r="B4" s="436"/>
      <c r="C4" s="438"/>
      <c r="D4" s="440"/>
      <c r="E4" s="442"/>
      <c r="F4" s="442"/>
      <c r="G4" s="443"/>
      <c r="H4" s="34" t="s">
        <v>239</v>
      </c>
      <c r="I4" s="35" t="s">
        <v>281</v>
      </c>
      <c r="J4" s="35" t="s">
        <v>422</v>
      </c>
      <c r="K4" s="136" t="s">
        <v>423</v>
      </c>
      <c r="L4" s="449"/>
    </row>
    <row r="5" spans="1:12" s="36" customFormat="1" ht="18" customHeight="1" x14ac:dyDescent="0.25">
      <c r="A5" s="148" t="s">
        <v>183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6"/>
    </row>
    <row r="6" spans="1:12" s="36" customFormat="1" ht="15" customHeight="1" x14ac:dyDescent="0.25">
      <c r="A6" s="145">
        <v>99</v>
      </c>
      <c r="B6" s="144" t="s">
        <v>424</v>
      </c>
      <c r="C6" s="143">
        <v>3676</v>
      </c>
      <c r="D6" s="142">
        <v>35000</v>
      </c>
      <c r="E6" s="142">
        <v>0</v>
      </c>
      <c r="F6" s="142">
        <v>0</v>
      </c>
      <c r="G6" s="37">
        <v>200</v>
      </c>
      <c r="H6" s="142">
        <v>11800</v>
      </c>
      <c r="I6" s="142">
        <v>23000</v>
      </c>
      <c r="J6" s="142">
        <v>0</v>
      </c>
      <c r="K6" s="141">
        <v>0</v>
      </c>
      <c r="L6" s="140"/>
    </row>
    <row r="7" spans="1:12" s="36" customFormat="1" ht="45" customHeight="1" x14ac:dyDescent="0.25">
      <c r="A7" s="145">
        <v>101</v>
      </c>
      <c r="B7" s="144" t="s">
        <v>484</v>
      </c>
      <c r="C7" s="143">
        <v>3522</v>
      </c>
      <c r="D7" s="142">
        <v>4524.5200000000004</v>
      </c>
      <c r="E7" s="142">
        <v>0</v>
      </c>
      <c r="F7" s="142">
        <v>1004.52</v>
      </c>
      <c r="G7" s="37">
        <v>1400</v>
      </c>
      <c r="H7" s="142">
        <v>2000</v>
      </c>
      <c r="I7" s="142">
        <v>120</v>
      </c>
      <c r="J7" s="142">
        <v>0</v>
      </c>
      <c r="K7" s="141">
        <v>0</v>
      </c>
      <c r="L7" s="140"/>
    </row>
    <row r="8" spans="1:12" s="36" customFormat="1" ht="15" customHeight="1" x14ac:dyDescent="0.25">
      <c r="A8" s="145">
        <v>102</v>
      </c>
      <c r="B8" s="144" t="s">
        <v>425</v>
      </c>
      <c r="C8" s="143">
        <v>3668</v>
      </c>
      <c r="D8" s="142">
        <v>213500</v>
      </c>
      <c r="E8" s="142">
        <v>0</v>
      </c>
      <c r="F8" s="142">
        <v>250</v>
      </c>
      <c r="G8" s="37">
        <v>84000</v>
      </c>
      <c r="H8" s="142">
        <v>129250</v>
      </c>
      <c r="I8" s="142">
        <v>0</v>
      </c>
      <c r="J8" s="142">
        <v>0</v>
      </c>
      <c r="K8" s="141">
        <v>0</v>
      </c>
      <c r="L8" s="140"/>
    </row>
    <row r="9" spans="1:12" s="36" customFormat="1" ht="24" customHeight="1" x14ac:dyDescent="0.25">
      <c r="A9" s="145">
        <v>104</v>
      </c>
      <c r="B9" s="144" t="s">
        <v>482</v>
      </c>
      <c r="C9" s="143">
        <v>3667</v>
      </c>
      <c r="D9" s="142">
        <v>42500</v>
      </c>
      <c r="E9" s="142">
        <v>0</v>
      </c>
      <c r="F9" s="142">
        <v>250</v>
      </c>
      <c r="G9" s="37">
        <v>42250</v>
      </c>
      <c r="H9" s="142">
        <v>0</v>
      </c>
      <c r="I9" s="142">
        <v>0</v>
      </c>
      <c r="J9" s="142">
        <v>0</v>
      </c>
      <c r="K9" s="141">
        <v>0</v>
      </c>
      <c r="L9" s="140"/>
    </row>
    <row r="10" spans="1:12" s="36" customFormat="1" ht="15" customHeight="1" x14ac:dyDescent="0.25">
      <c r="A10" s="145">
        <v>106</v>
      </c>
      <c r="B10" s="144" t="s">
        <v>426</v>
      </c>
      <c r="C10" s="143">
        <v>3670</v>
      </c>
      <c r="D10" s="142">
        <v>21500</v>
      </c>
      <c r="E10" s="142">
        <v>0</v>
      </c>
      <c r="F10" s="142">
        <v>250</v>
      </c>
      <c r="G10" s="37">
        <v>21250</v>
      </c>
      <c r="H10" s="142">
        <v>0</v>
      </c>
      <c r="I10" s="142">
        <v>0</v>
      </c>
      <c r="J10" s="142">
        <v>0</v>
      </c>
      <c r="K10" s="141">
        <v>0</v>
      </c>
      <c r="L10" s="140"/>
    </row>
    <row r="11" spans="1:12" s="36" customFormat="1" ht="24" customHeight="1" x14ac:dyDescent="0.25">
      <c r="A11" s="145">
        <v>108</v>
      </c>
      <c r="B11" s="144" t="s">
        <v>427</v>
      </c>
      <c r="C11" s="143">
        <v>3669</v>
      </c>
      <c r="D11" s="142">
        <v>105500</v>
      </c>
      <c r="E11" s="142">
        <v>0</v>
      </c>
      <c r="F11" s="142">
        <v>250</v>
      </c>
      <c r="G11" s="37">
        <v>55250</v>
      </c>
      <c r="H11" s="142">
        <v>50000</v>
      </c>
      <c r="I11" s="142">
        <v>0</v>
      </c>
      <c r="J11" s="142">
        <v>0</v>
      </c>
      <c r="K11" s="141">
        <v>0</v>
      </c>
      <c r="L11" s="140"/>
    </row>
    <row r="12" spans="1:12" s="36" customFormat="1" ht="15" customHeight="1" x14ac:dyDescent="0.25">
      <c r="A12" s="145">
        <v>110</v>
      </c>
      <c r="B12" s="144" t="s">
        <v>286</v>
      </c>
      <c r="C12" s="143">
        <v>3573</v>
      </c>
      <c r="D12" s="142">
        <v>152759.99</v>
      </c>
      <c r="E12" s="142">
        <v>30.17</v>
      </c>
      <c r="F12" s="142">
        <v>229.82</v>
      </c>
      <c r="G12" s="37">
        <v>152500</v>
      </c>
      <c r="H12" s="142">
        <v>0</v>
      </c>
      <c r="I12" s="142">
        <v>0</v>
      </c>
      <c r="J12" s="142">
        <v>0</v>
      </c>
      <c r="K12" s="141">
        <v>0</v>
      </c>
      <c r="L12" s="140"/>
    </row>
    <row r="13" spans="1:12" s="36" customFormat="1" ht="15" customHeight="1" x14ac:dyDescent="0.25">
      <c r="A13" s="145">
        <v>112</v>
      </c>
      <c r="B13" s="144" t="s">
        <v>287</v>
      </c>
      <c r="C13" s="143">
        <v>3575</v>
      </c>
      <c r="D13" s="142">
        <v>34260</v>
      </c>
      <c r="E13" s="142">
        <v>0</v>
      </c>
      <c r="F13" s="142">
        <v>260</v>
      </c>
      <c r="G13" s="37">
        <v>34000</v>
      </c>
      <c r="H13" s="142">
        <v>0</v>
      </c>
      <c r="I13" s="142">
        <v>0</v>
      </c>
      <c r="J13" s="142">
        <v>0</v>
      </c>
      <c r="K13" s="141">
        <v>0</v>
      </c>
      <c r="L13" s="140"/>
    </row>
    <row r="14" spans="1:12" s="36" customFormat="1" ht="15" customHeight="1" x14ac:dyDescent="0.25">
      <c r="A14" s="145">
        <v>114</v>
      </c>
      <c r="B14" s="144" t="s">
        <v>243</v>
      </c>
      <c r="C14" s="143">
        <v>3531</v>
      </c>
      <c r="D14" s="142">
        <v>23360</v>
      </c>
      <c r="E14" s="142">
        <v>96.710000000000008</v>
      </c>
      <c r="F14" s="142">
        <v>263.29000000000002</v>
      </c>
      <c r="G14" s="37">
        <v>23000</v>
      </c>
      <c r="H14" s="142">
        <v>0</v>
      </c>
      <c r="I14" s="142">
        <v>0</v>
      </c>
      <c r="J14" s="142">
        <v>0</v>
      </c>
      <c r="K14" s="141">
        <v>0</v>
      </c>
      <c r="L14" s="140"/>
    </row>
    <row r="15" spans="1:12" s="36" customFormat="1" ht="34.5" customHeight="1" x14ac:dyDescent="0.25">
      <c r="A15" s="145">
        <v>116</v>
      </c>
      <c r="B15" s="144" t="s">
        <v>483</v>
      </c>
      <c r="C15" s="143">
        <v>3583</v>
      </c>
      <c r="D15" s="142">
        <v>5474</v>
      </c>
      <c r="E15" s="142">
        <v>0</v>
      </c>
      <c r="F15" s="142">
        <v>1000</v>
      </c>
      <c r="G15" s="37">
        <v>1500</v>
      </c>
      <c r="H15" s="142">
        <v>1500</v>
      </c>
      <c r="I15" s="142">
        <v>1200</v>
      </c>
      <c r="J15" s="142">
        <v>274</v>
      </c>
      <c r="K15" s="141">
        <v>0</v>
      </c>
      <c r="L15" s="140"/>
    </row>
    <row r="16" spans="1:12" s="36" customFormat="1" ht="24" customHeight="1" x14ac:dyDescent="0.25">
      <c r="A16" s="145">
        <v>117</v>
      </c>
      <c r="B16" s="144" t="s">
        <v>246</v>
      </c>
      <c r="C16" s="143">
        <v>3999</v>
      </c>
      <c r="D16" s="142">
        <v>50000</v>
      </c>
      <c r="E16" s="142">
        <v>0</v>
      </c>
      <c r="F16" s="142">
        <v>46000</v>
      </c>
      <c r="G16" s="37">
        <v>50000</v>
      </c>
      <c r="H16" s="142">
        <v>50000</v>
      </c>
      <c r="I16" s="142">
        <v>50000</v>
      </c>
      <c r="J16" s="142">
        <v>50000</v>
      </c>
      <c r="K16" s="141">
        <v>0</v>
      </c>
      <c r="L16" s="140" t="s">
        <v>428</v>
      </c>
    </row>
    <row r="17" spans="1:12" s="36" customFormat="1" ht="15.75" customHeight="1" x14ac:dyDescent="0.25">
      <c r="A17" s="452" t="s">
        <v>182</v>
      </c>
      <c r="B17" s="453" t="s">
        <v>429</v>
      </c>
      <c r="C17" s="181">
        <f>COUNT(C6:C16)</f>
        <v>11</v>
      </c>
      <c r="D17" s="38">
        <f t="shared" ref="D17:K17" si="0">SUM(D6:D16)</f>
        <v>688378.51</v>
      </c>
      <c r="E17" s="38">
        <f t="shared" si="0"/>
        <v>126.88000000000001</v>
      </c>
      <c r="F17" s="38">
        <f t="shared" si="0"/>
        <v>49757.63</v>
      </c>
      <c r="G17" s="38">
        <f t="shared" si="0"/>
        <v>465350</v>
      </c>
      <c r="H17" s="38">
        <f t="shared" si="0"/>
        <v>244550</v>
      </c>
      <c r="I17" s="38">
        <f t="shared" si="0"/>
        <v>74320</v>
      </c>
      <c r="J17" s="38">
        <f t="shared" si="0"/>
        <v>50274</v>
      </c>
      <c r="K17" s="38">
        <f t="shared" si="0"/>
        <v>0</v>
      </c>
      <c r="L17" s="39"/>
    </row>
    <row r="18" spans="1:12" s="36" customFormat="1" ht="18" customHeight="1" x14ac:dyDescent="0.25">
      <c r="A18" s="148" t="s">
        <v>430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6"/>
    </row>
    <row r="19" spans="1:12" s="36" customFormat="1" ht="24" customHeight="1" x14ac:dyDescent="0.25">
      <c r="A19" s="145">
        <v>138</v>
      </c>
      <c r="B19" s="144" t="s">
        <v>431</v>
      </c>
      <c r="C19" s="143">
        <v>3630</v>
      </c>
      <c r="D19" s="142">
        <v>45838</v>
      </c>
      <c r="E19" s="142">
        <v>0</v>
      </c>
      <c r="F19" s="142">
        <v>12000</v>
      </c>
      <c r="G19" s="37">
        <v>18000</v>
      </c>
      <c r="H19" s="142">
        <v>15838</v>
      </c>
      <c r="I19" s="142">
        <v>0</v>
      </c>
      <c r="J19" s="142">
        <v>0</v>
      </c>
      <c r="K19" s="141">
        <v>0</v>
      </c>
      <c r="L19" s="140"/>
    </row>
    <row r="20" spans="1:12" s="36" customFormat="1" ht="15" customHeight="1" x14ac:dyDescent="0.25">
      <c r="A20" s="145">
        <v>140</v>
      </c>
      <c r="B20" s="144" t="s">
        <v>240</v>
      </c>
      <c r="C20" s="143">
        <v>3558</v>
      </c>
      <c r="D20" s="142">
        <v>9989.880000000001</v>
      </c>
      <c r="E20" s="142">
        <v>3376.92</v>
      </c>
      <c r="F20" s="142">
        <v>1077.96</v>
      </c>
      <c r="G20" s="37">
        <v>5535</v>
      </c>
      <c r="H20" s="142">
        <v>0</v>
      </c>
      <c r="I20" s="142">
        <v>0</v>
      </c>
      <c r="J20" s="142">
        <v>0</v>
      </c>
      <c r="K20" s="141">
        <v>0</v>
      </c>
      <c r="L20" s="140"/>
    </row>
    <row r="21" spans="1:12" s="36" customFormat="1" ht="24" customHeight="1" x14ac:dyDescent="0.25">
      <c r="A21" s="145">
        <v>142</v>
      </c>
      <c r="B21" s="144" t="s">
        <v>241</v>
      </c>
      <c r="C21" s="143">
        <v>3526</v>
      </c>
      <c r="D21" s="142">
        <v>39990</v>
      </c>
      <c r="E21" s="142">
        <v>0</v>
      </c>
      <c r="F21" s="142">
        <v>6000</v>
      </c>
      <c r="G21" s="37">
        <v>33990</v>
      </c>
      <c r="H21" s="142">
        <v>0</v>
      </c>
      <c r="I21" s="142">
        <v>0</v>
      </c>
      <c r="J21" s="142">
        <v>0</v>
      </c>
      <c r="K21" s="141">
        <v>0</v>
      </c>
      <c r="L21" s="140"/>
    </row>
    <row r="22" spans="1:12" s="36" customFormat="1" ht="15.75" customHeight="1" x14ac:dyDescent="0.25">
      <c r="A22" s="452" t="s">
        <v>432</v>
      </c>
      <c r="B22" s="453" t="s">
        <v>433</v>
      </c>
      <c r="C22" s="181">
        <f>COUNT(C20:C21)</f>
        <v>2</v>
      </c>
      <c r="D22" s="38">
        <f>SUM(D19:D21)</f>
        <v>95817.88</v>
      </c>
      <c r="E22" s="38">
        <f t="shared" ref="E22:K22" si="1">SUM(E19:E21)</f>
        <v>3376.92</v>
      </c>
      <c r="F22" s="38">
        <f t="shared" si="1"/>
        <v>19077.96</v>
      </c>
      <c r="G22" s="38">
        <f t="shared" si="1"/>
        <v>57525</v>
      </c>
      <c r="H22" s="38">
        <f t="shared" si="1"/>
        <v>15838</v>
      </c>
      <c r="I22" s="38">
        <f t="shared" si="1"/>
        <v>0</v>
      </c>
      <c r="J22" s="38">
        <f t="shared" si="1"/>
        <v>0</v>
      </c>
      <c r="K22" s="38">
        <f t="shared" si="1"/>
        <v>0</v>
      </c>
      <c r="L22" s="39"/>
    </row>
    <row r="23" spans="1:12" s="36" customFormat="1" ht="18" customHeight="1" x14ac:dyDescent="0.25">
      <c r="A23" s="148" t="s">
        <v>37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6"/>
    </row>
    <row r="24" spans="1:12" s="36" customFormat="1" ht="15" customHeight="1" x14ac:dyDescent="0.25">
      <c r="A24" s="145">
        <v>174</v>
      </c>
      <c r="B24" s="144" t="s">
        <v>248</v>
      </c>
      <c r="C24" s="143">
        <v>3519</v>
      </c>
      <c r="D24" s="142">
        <v>261000</v>
      </c>
      <c r="E24" s="142">
        <v>1767.8100000000002</v>
      </c>
      <c r="F24" s="142">
        <v>5232.1899999999996</v>
      </c>
      <c r="G24" s="37">
        <v>150000</v>
      </c>
      <c r="H24" s="142">
        <v>104000</v>
      </c>
      <c r="I24" s="142">
        <v>0</v>
      </c>
      <c r="J24" s="142">
        <v>0</v>
      </c>
      <c r="K24" s="141">
        <v>0</v>
      </c>
      <c r="L24" s="140"/>
    </row>
    <row r="25" spans="1:12" s="36" customFormat="1" ht="15.75" customHeight="1" x14ac:dyDescent="0.25">
      <c r="A25" s="452" t="s">
        <v>38</v>
      </c>
      <c r="B25" s="453" t="s">
        <v>434</v>
      </c>
      <c r="C25" s="181">
        <f>COUNT(C24)</f>
        <v>1</v>
      </c>
      <c r="D25" s="38">
        <f>SUM(D24)</f>
        <v>261000</v>
      </c>
      <c r="E25" s="38">
        <f t="shared" ref="E25:K25" si="2">SUM(E24)</f>
        <v>1767.8100000000002</v>
      </c>
      <c r="F25" s="38">
        <f t="shared" si="2"/>
        <v>5232.1899999999996</v>
      </c>
      <c r="G25" s="38">
        <f t="shared" si="2"/>
        <v>150000</v>
      </c>
      <c r="H25" s="38">
        <f t="shared" si="2"/>
        <v>104000</v>
      </c>
      <c r="I25" s="38">
        <f t="shared" si="2"/>
        <v>0</v>
      </c>
      <c r="J25" s="38">
        <f t="shared" si="2"/>
        <v>0</v>
      </c>
      <c r="K25" s="38">
        <f t="shared" si="2"/>
        <v>0</v>
      </c>
      <c r="L25" s="39"/>
    </row>
    <row r="26" spans="1:12" s="36" customFormat="1" ht="18" customHeight="1" x14ac:dyDescent="0.25">
      <c r="A26" s="148" t="s">
        <v>39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6"/>
    </row>
    <row r="27" spans="1:12" s="36" customFormat="1" ht="15" customHeight="1" x14ac:dyDescent="0.25">
      <c r="A27" s="145">
        <v>235</v>
      </c>
      <c r="B27" s="144" t="s">
        <v>249</v>
      </c>
      <c r="C27" s="143">
        <v>3505</v>
      </c>
      <c r="D27" s="142">
        <v>2600000.0099999998</v>
      </c>
      <c r="E27" s="142">
        <v>40715.870000000003</v>
      </c>
      <c r="F27" s="142">
        <v>203380.14</v>
      </c>
      <c r="G27" s="37">
        <v>682707</v>
      </c>
      <c r="H27" s="142">
        <v>926377</v>
      </c>
      <c r="I27" s="142">
        <v>526572</v>
      </c>
      <c r="J27" s="142">
        <v>220248</v>
      </c>
      <c r="K27" s="141">
        <v>0</v>
      </c>
      <c r="L27" s="140"/>
    </row>
    <row r="28" spans="1:12" s="36" customFormat="1" ht="24" customHeight="1" x14ac:dyDescent="0.25">
      <c r="A28" s="145">
        <v>237</v>
      </c>
      <c r="B28" s="144" t="s">
        <v>435</v>
      </c>
      <c r="C28" s="143">
        <v>3658</v>
      </c>
      <c r="D28" s="142">
        <v>50500</v>
      </c>
      <c r="E28" s="142">
        <v>0</v>
      </c>
      <c r="F28" s="142">
        <v>22499.54</v>
      </c>
      <c r="G28" s="37">
        <v>20500</v>
      </c>
      <c r="H28" s="142">
        <v>0</v>
      </c>
      <c r="I28" s="142">
        <v>0</v>
      </c>
      <c r="J28" s="142">
        <v>0</v>
      </c>
      <c r="K28" s="141">
        <v>0</v>
      </c>
      <c r="L28" s="140" t="s">
        <v>49</v>
      </c>
    </row>
    <row r="29" spans="1:12" s="36" customFormat="1" ht="15" customHeight="1" x14ac:dyDescent="0.25">
      <c r="A29" s="145">
        <v>238</v>
      </c>
      <c r="B29" s="144" t="s">
        <v>289</v>
      </c>
      <c r="C29" s="143">
        <v>3577</v>
      </c>
      <c r="D29" s="142">
        <v>35620</v>
      </c>
      <c r="E29" s="142">
        <v>0</v>
      </c>
      <c r="F29" s="142">
        <v>10000</v>
      </c>
      <c r="G29" s="37">
        <v>10000</v>
      </c>
      <c r="H29" s="142">
        <v>15620</v>
      </c>
      <c r="I29" s="142">
        <v>0</v>
      </c>
      <c r="J29" s="142">
        <v>0</v>
      </c>
      <c r="K29" s="141">
        <v>0</v>
      </c>
      <c r="L29" s="140"/>
    </row>
    <row r="30" spans="1:12" s="36" customFormat="1" ht="15" customHeight="1" x14ac:dyDescent="0.25">
      <c r="A30" s="145">
        <v>240</v>
      </c>
      <c r="B30" s="144" t="s">
        <v>251</v>
      </c>
      <c r="C30" s="143">
        <v>3523</v>
      </c>
      <c r="D30" s="142">
        <v>148000</v>
      </c>
      <c r="E30" s="142">
        <v>0</v>
      </c>
      <c r="F30" s="142">
        <v>46000</v>
      </c>
      <c r="G30" s="37">
        <v>15000</v>
      </c>
      <c r="H30" s="142">
        <v>87000</v>
      </c>
      <c r="I30" s="142">
        <v>0</v>
      </c>
      <c r="J30" s="142">
        <v>0</v>
      </c>
      <c r="K30" s="141">
        <v>0</v>
      </c>
      <c r="L30" s="140"/>
    </row>
    <row r="31" spans="1:12" s="36" customFormat="1" ht="15" customHeight="1" x14ac:dyDescent="0.25">
      <c r="A31" s="145">
        <v>242</v>
      </c>
      <c r="B31" s="144" t="s">
        <v>252</v>
      </c>
      <c r="C31" s="143">
        <v>3555</v>
      </c>
      <c r="D31" s="142">
        <v>164999.99</v>
      </c>
      <c r="E31" s="142">
        <v>4573.1099999999997</v>
      </c>
      <c r="F31" s="142">
        <v>10444.880000000001</v>
      </c>
      <c r="G31" s="37">
        <v>102000</v>
      </c>
      <c r="H31" s="142">
        <v>47982</v>
      </c>
      <c r="I31" s="142">
        <v>0</v>
      </c>
      <c r="J31" s="142">
        <v>0</v>
      </c>
      <c r="K31" s="141">
        <v>0</v>
      </c>
      <c r="L31" s="140"/>
    </row>
    <row r="32" spans="1:12" s="36" customFormat="1" ht="15" customHeight="1" x14ac:dyDescent="0.25">
      <c r="A32" s="145">
        <v>244</v>
      </c>
      <c r="B32" s="144" t="s">
        <v>247</v>
      </c>
      <c r="C32" s="143">
        <v>3556</v>
      </c>
      <c r="D32" s="142">
        <v>502999.99</v>
      </c>
      <c r="E32" s="142">
        <v>434.73999999999995</v>
      </c>
      <c r="F32" s="142">
        <v>14565.25</v>
      </c>
      <c r="G32" s="37">
        <v>20000</v>
      </c>
      <c r="H32" s="142">
        <v>270000</v>
      </c>
      <c r="I32" s="142">
        <v>198000</v>
      </c>
      <c r="J32" s="142">
        <v>0</v>
      </c>
      <c r="K32" s="141">
        <v>0</v>
      </c>
      <c r="L32" s="140"/>
    </row>
    <row r="33" spans="1:12" s="36" customFormat="1" ht="15" customHeight="1" x14ac:dyDescent="0.25">
      <c r="A33" s="145">
        <v>246</v>
      </c>
      <c r="B33" s="144" t="s">
        <v>253</v>
      </c>
      <c r="C33" s="143">
        <v>3549</v>
      </c>
      <c r="D33" s="142">
        <v>5615</v>
      </c>
      <c r="E33" s="142">
        <f>86+29</f>
        <v>115</v>
      </c>
      <c r="F33" s="142">
        <v>2000</v>
      </c>
      <c r="G33" s="37">
        <v>3500</v>
      </c>
      <c r="H33" s="142">
        <v>0</v>
      </c>
      <c r="I33" s="142">
        <v>0</v>
      </c>
      <c r="J33" s="142">
        <v>0</v>
      </c>
      <c r="K33" s="141">
        <v>0</v>
      </c>
      <c r="L33" s="140"/>
    </row>
    <row r="34" spans="1:12" s="36" customFormat="1" ht="15" customHeight="1" x14ac:dyDescent="0.25">
      <c r="A34" s="145">
        <v>248</v>
      </c>
      <c r="B34" s="144" t="s">
        <v>290</v>
      </c>
      <c r="C34" s="143">
        <v>3554</v>
      </c>
      <c r="D34" s="142">
        <v>11500</v>
      </c>
      <c r="E34" s="142">
        <v>0</v>
      </c>
      <c r="F34" s="142">
        <v>200</v>
      </c>
      <c r="G34" s="37">
        <v>7006</v>
      </c>
      <c r="H34" s="142">
        <v>4294</v>
      </c>
      <c r="I34" s="142">
        <v>0</v>
      </c>
      <c r="J34" s="142">
        <v>0</v>
      </c>
      <c r="K34" s="141">
        <v>0</v>
      </c>
      <c r="L34" s="140"/>
    </row>
    <row r="35" spans="1:12" s="36" customFormat="1" ht="15" customHeight="1" x14ac:dyDescent="0.25">
      <c r="A35" s="145">
        <v>250</v>
      </c>
      <c r="B35" s="144" t="s">
        <v>291</v>
      </c>
      <c r="C35" s="143">
        <v>3524</v>
      </c>
      <c r="D35" s="142">
        <v>160101</v>
      </c>
      <c r="E35" s="142">
        <f>5101+221.28</f>
        <v>5322.28</v>
      </c>
      <c r="F35" s="142">
        <v>28488.71</v>
      </c>
      <c r="G35" s="37">
        <v>126290</v>
      </c>
      <c r="H35" s="142">
        <v>0</v>
      </c>
      <c r="I35" s="142">
        <v>0</v>
      </c>
      <c r="J35" s="142">
        <v>0</v>
      </c>
      <c r="K35" s="141">
        <v>0</v>
      </c>
      <c r="L35" s="140"/>
    </row>
    <row r="36" spans="1:12" s="36" customFormat="1" ht="15" customHeight="1" x14ac:dyDescent="0.25">
      <c r="A36" s="145">
        <v>252</v>
      </c>
      <c r="B36" s="144" t="s">
        <v>436</v>
      </c>
      <c r="C36" s="143">
        <v>3563</v>
      </c>
      <c r="D36" s="142">
        <v>130451</v>
      </c>
      <c r="E36" s="142">
        <f>6607.25+444</f>
        <v>7051.25</v>
      </c>
      <c r="F36" s="142">
        <v>40000</v>
      </c>
      <c r="G36" s="37">
        <v>44000</v>
      </c>
      <c r="H36" s="142">
        <v>39400</v>
      </c>
      <c r="I36" s="142">
        <v>0</v>
      </c>
      <c r="J36" s="142">
        <v>0</v>
      </c>
      <c r="K36" s="141">
        <v>0</v>
      </c>
      <c r="L36" s="140"/>
    </row>
    <row r="37" spans="1:12" s="36" customFormat="1" ht="15" customHeight="1" x14ac:dyDescent="0.25">
      <c r="A37" s="145">
        <v>254</v>
      </c>
      <c r="B37" s="144" t="s">
        <v>204</v>
      </c>
      <c r="C37" s="143">
        <v>3514</v>
      </c>
      <c r="D37" s="142">
        <v>122073</v>
      </c>
      <c r="E37" s="142">
        <f>3646.79+73</f>
        <v>3719.79</v>
      </c>
      <c r="F37" s="142">
        <v>20230</v>
      </c>
      <c r="G37" s="37">
        <v>98123</v>
      </c>
      <c r="H37" s="142">
        <v>0</v>
      </c>
      <c r="I37" s="142">
        <v>0</v>
      </c>
      <c r="J37" s="142">
        <v>0</v>
      </c>
      <c r="K37" s="141">
        <v>0</v>
      </c>
      <c r="L37" s="140"/>
    </row>
    <row r="38" spans="1:12" s="36" customFormat="1" ht="15.75" customHeight="1" x14ac:dyDescent="0.25">
      <c r="A38" s="452" t="s">
        <v>40</v>
      </c>
      <c r="B38" s="453" t="s">
        <v>437</v>
      </c>
      <c r="C38" s="181">
        <f>COUNT(C27:C37)</f>
        <v>11</v>
      </c>
      <c r="D38" s="38">
        <f>SUM(D27:D37)</f>
        <v>3931859.99</v>
      </c>
      <c r="E38" s="38">
        <f t="shared" ref="E38:K38" si="3">SUM(E27:E37)</f>
        <v>61932.04</v>
      </c>
      <c r="F38" s="38">
        <f t="shared" si="3"/>
        <v>397808.52000000008</v>
      </c>
      <c r="G38" s="38">
        <f t="shared" si="3"/>
        <v>1129126</v>
      </c>
      <c r="H38" s="38">
        <f t="shared" si="3"/>
        <v>1390673</v>
      </c>
      <c r="I38" s="38">
        <f t="shared" si="3"/>
        <v>724572</v>
      </c>
      <c r="J38" s="38">
        <f t="shared" si="3"/>
        <v>220248</v>
      </c>
      <c r="K38" s="38">
        <f t="shared" si="3"/>
        <v>0</v>
      </c>
      <c r="L38" s="39"/>
    </row>
    <row r="39" spans="1:12" s="36" customFormat="1" ht="18" customHeight="1" x14ac:dyDescent="0.25">
      <c r="A39" s="148" t="s">
        <v>50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6"/>
    </row>
    <row r="40" spans="1:12" s="36" customFormat="1" ht="24" customHeight="1" x14ac:dyDescent="0.25">
      <c r="A40" s="145">
        <v>301</v>
      </c>
      <c r="B40" s="144" t="s">
        <v>254</v>
      </c>
      <c r="C40" s="143">
        <v>3562</v>
      </c>
      <c r="D40" s="142">
        <v>76000</v>
      </c>
      <c r="E40" s="142">
        <v>889.31</v>
      </c>
      <c r="F40" s="142">
        <v>22598.67</v>
      </c>
      <c r="G40" s="37">
        <v>4463</v>
      </c>
      <c r="H40" s="142">
        <v>1614</v>
      </c>
      <c r="I40" s="142">
        <v>0</v>
      </c>
      <c r="J40" s="142">
        <v>0</v>
      </c>
      <c r="K40" s="141">
        <v>0</v>
      </c>
      <c r="L40" s="140" t="s">
        <v>49</v>
      </c>
    </row>
    <row r="41" spans="1:12" s="36" customFormat="1" ht="15" customHeight="1" x14ac:dyDescent="0.25">
      <c r="A41" s="145">
        <v>302</v>
      </c>
      <c r="B41" s="144" t="s">
        <v>51</v>
      </c>
      <c r="C41" s="143">
        <v>3998</v>
      </c>
      <c r="D41" s="142">
        <v>50000</v>
      </c>
      <c r="E41" s="142">
        <v>1798.82</v>
      </c>
      <c r="F41" s="142">
        <v>61006.920000000013</v>
      </c>
      <c r="G41" s="37">
        <v>50000</v>
      </c>
      <c r="H41" s="142">
        <v>0</v>
      </c>
      <c r="I41" s="142">
        <v>0</v>
      </c>
      <c r="J41" s="142">
        <v>0</v>
      </c>
      <c r="K41" s="141">
        <v>0</v>
      </c>
      <c r="L41" s="140" t="s">
        <v>428</v>
      </c>
    </row>
    <row r="42" spans="1:12" s="36" customFormat="1" ht="24" customHeight="1" x14ac:dyDescent="0.25">
      <c r="A42" s="145">
        <v>303</v>
      </c>
      <c r="B42" s="144" t="s">
        <v>316</v>
      </c>
      <c r="C42" s="143">
        <v>3600</v>
      </c>
      <c r="D42" s="142">
        <v>5202</v>
      </c>
      <c r="E42" s="142">
        <v>0</v>
      </c>
      <c r="F42" s="142">
        <v>2601</v>
      </c>
      <c r="G42" s="37">
        <v>2601</v>
      </c>
      <c r="H42" s="142">
        <v>0</v>
      </c>
      <c r="I42" s="142">
        <v>0</v>
      </c>
      <c r="J42" s="142">
        <v>0</v>
      </c>
      <c r="K42" s="141">
        <v>0</v>
      </c>
      <c r="L42" s="140"/>
    </row>
    <row r="43" spans="1:12" s="36" customFormat="1" ht="24" customHeight="1" x14ac:dyDescent="0.25">
      <c r="A43" s="145">
        <v>304</v>
      </c>
      <c r="B43" s="144" t="s">
        <v>387</v>
      </c>
      <c r="C43" s="143">
        <v>3561</v>
      </c>
      <c r="D43" s="142">
        <v>12600</v>
      </c>
      <c r="E43" s="142">
        <v>0</v>
      </c>
      <c r="F43" s="142">
        <v>6300</v>
      </c>
      <c r="G43" s="37">
        <v>6300</v>
      </c>
      <c r="H43" s="142">
        <v>0</v>
      </c>
      <c r="I43" s="142">
        <v>0</v>
      </c>
      <c r="J43" s="142">
        <v>0</v>
      </c>
      <c r="K43" s="141">
        <v>0</v>
      </c>
      <c r="L43" s="140"/>
    </row>
    <row r="44" spans="1:12" s="36" customFormat="1" ht="24" customHeight="1" x14ac:dyDescent="0.25">
      <c r="A44" s="145">
        <v>305</v>
      </c>
      <c r="B44" s="144" t="s">
        <v>319</v>
      </c>
      <c r="C44" s="143">
        <v>3597</v>
      </c>
      <c r="D44" s="142">
        <v>3770</v>
      </c>
      <c r="E44" s="142">
        <v>0</v>
      </c>
      <c r="F44" s="142">
        <v>685</v>
      </c>
      <c r="G44" s="37">
        <v>685</v>
      </c>
      <c r="H44" s="142">
        <v>685</v>
      </c>
      <c r="I44" s="142">
        <v>685</v>
      </c>
      <c r="J44" s="142">
        <v>1030</v>
      </c>
      <c r="K44" s="141">
        <v>0</v>
      </c>
      <c r="L44" s="140"/>
    </row>
    <row r="45" spans="1:12" s="36" customFormat="1" ht="15" customHeight="1" x14ac:dyDescent="0.25">
      <c r="A45" s="145">
        <v>306</v>
      </c>
      <c r="B45" s="144" t="s">
        <v>388</v>
      </c>
      <c r="C45" s="143">
        <v>3601</v>
      </c>
      <c r="D45" s="142">
        <v>230000</v>
      </c>
      <c r="E45" s="142">
        <v>0</v>
      </c>
      <c r="F45" s="142">
        <v>133500</v>
      </c>
      <c r="G45" s="37">
        <v>96500</v>
      </c>
      <c r="H45" s="142">
        <v>0</v>
      </c>
      <c r="I45" s="142">
        <v>0</v>
      </c>
      <c r="J45" s="142">
        <v>0</v>
      </c>
      <c r="K45" s="141">
        <v>0</v>
      </c>
      <c r="L45" s="140"/>
    </row>
    <row r="46" spans="1:12" s="36" customFormat="1" ht="15.75" customHeight="1" x14ac:dyDescent="0.25">
      <c r="A46" s="452" t="s">
        <v>52</v>
      </c>
      <c r="B46" s="453" t="s">
        <v>440</v>
      </c>
      <c r="C46" s="181">
        <f>COUNT(C40:C45)</f>
        <v>6</v>
      </c>
      <c r="D46" s="38">
        <f>SUM(D40:D45)</f>
        <v>377572</v>
      </c>
      <c r="E46" s="38">
        <f t="shared" ref="E46:K46" si="4">SUM(E40:E45)</f>
        <v>2688.13</v>
      </c>
      <c r="F46" s="38">
        <f t="shared" si="4"/>
        <v>226691.59000000003</v>
      </c>
      <c r="G46" s="38">
        <f t="shared" si="4"/>
        <v>160549</v>
      </c>
      <c r="H46" s="38">
        <f t="shared" si="4"/>
        <v>2299</v>
      </c>
      <c r="I46" s="38">
        <f t="shared" si="4"/>
        <v>685</v>
      </c>
      <c r="J46" s="38">
        <f t="shared" si="4"/>
        <v>1030</v>
      </c>
      <c r="K46" s="38">
        <f t="shared" si="4"/>
        <v>0</v>
      </c>
      <c r="L46" s="39"/>
    </row>
    <row r="47" spans="1:12" s="36" customFormat="1" ht="18" customHeight="1" x14ac:dyDescent="0.25">
      <c r="A47" s="148" t="s">
        <v>292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6"/>
    </row>
    <row r="48" spans="1:12" s="36" customFormat="1" ht="24" customHeight="1" x14ac:dyDescent="0.25">
      <c r="A48" s="145">
        <v>339</v>
      </c>
      <c r="B48" s="144" t="s">
        <v>293</v>
      </c>
      <c r="C48" s="143">
        <v>3585</v>
      </c>
      <c r="D48" s="142">
        <v>2100</v>
      </c>
      <c r="E48" s="142">
        <v>0</v>
      </c>
      <c r="F48" s="142">
        <v>0</v>
      </c>
      <c r="G48" s="37">
        <v>1100</v>
      </c>
      <c r="H48" s="142">
        <v>1000</v>
      </c>
      <c r="I48" s="142">
        <v>0</v>
      </c>
      <c r="J48" s="142">
        <v>0</v>
      </c>
      <c r="K48" s="141">
        <v>0</v>
      </c>
      <c r="L48" s="140"/>
    </row>
    <row r="49" spans="1:12" s="36" customFormat="1" ht="15" customHeight="1" x14ac:dyDescent="0.25">
      <c r="A49" s="145">
        <v>340</v>
      </c>
      <c r="B49" s="144" t="s">
        <v>294</v>
      </c>
      <c r="C49" s="143">
        <v>3586</v>
      </c>
      <c r="D49" s="142">
        <v>2500</v>
      </c>
      <c r="E49" s="142">
        <v>0</v>
      </c>
      <c r="F49" s="142">
        <v>0</v>
      </c>
      <c r="G49" s="37">
        <v>600</v>
      </c>
      <c r="H49" s="142">
        <v>1300</v>
      </c>
      <c r="I49" s="142">
        <v>600</v>
      </c>
      <c r="J49" s="142">
        <v>0</v>
      </c>
      <c r="K49" s="141">
        <v>0</v>
      </c>
      <c r="L49" s="140"/>
    </row>
    <row r="50" spans="1:12" s="36" customFormat="1" ht="24" customHeight="1" x14ac:dyDescent="0.25">
      <c r="A50" s="145">
        <v>342</v>
      </c>
      <c r="B50" s="144" t="s">
        <v>438</v>
      </c>
      <c r="C50" s="143">
        <v>3665</v>
      </c>
      <c r="D50" s="142">
        <v>6181</v>
      </c>
      <c r="E50" s="142">
        <v>0</v>
      </c>
      <c r="F50" s="142">
        <v>0</v>
      </c>
      <c r="G50" s="37">
        <v>1600</v>
      </c>
      <c r="H50" s="142">
        <v>1600</v>
      </c>
      <c r="I50" s="142">
        <v>1600</v>
      </c>
      <c r="J50" s="142">
        <v>1381</v>
      </c>
      <c r="K50" s="141">
        <v>0</v>
      </c>
      <c r="L50" s="140"/>
    </row>
    <row r="51" spans="1:12" s="36" customFormat="1" ht="15.75" customHeight="1" x14ac:dyDescent="0.25">
      <c r="A51" s="452" t="s">
        <v>295</v>
      </c>
      <c r="B51" s="453" t="s">
        <v>439</v>
      </c>
      <c r="C51" s="181">
        <f>COUNT(C48:C50)</f>
        <v>3</v>
      </c>
      <c r="D51" s="38">
        <f>SUM(D48:D50)</f>
        <v>10781</v>
      </c>
      <c r="E51" s="38">
        <f t="shared" ref="E51:K51" si="5">SUM(E48:E50)</f>
        <v>0</v>
      </c>
      <c r="F51" s="38">
        <f t="shared" si="5"/>
        <v>0</v>
      </c>
      <c r="G51" s="38">
        <f t="shared" si="5"/>
        <v>3300</v>
      </c>
      <c r="H51" s="38">
        <f t="shared" si="5"/>
        <v>3900</v>
      </c>
      <c r="I51" s="38">
        <f t="shared" si="5"/>
        <v>2200</v>
      </c>
      <c r="J51" s="38">
        <f t="shared" si="5"/>
        <v>1381</v>
      </c>
      <c r="K51" s="38">
        <f t="shared" si="5"/>
        <v>0</v>
      </c>
      <c r="L51" s="39"/>
    </row>
    <row r="52" spans="1:12" s="36" customFormat="1" ht="18" customHeight="1" x14ac:dyDescent="0.25">
      <c r="A52" s="148" t="s">
        <v>41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6"/>
    </row>
    <row r="53" spans="1:12" s="36" customFormat="1" ht="15" customHeight="1" x14ac:dyDescent="0.25">
      <c r="A53" s="145">
        <v>397</v>
      </c>
      <c r="B53" s="144" t="s">
        <v>296</v>
      </c>
      <c r="C53" s="143">
        <v>3591</v>
      </c>
      <c r="D53" s="142">
        <v>57818</v>
      </c>
      <c r="E53" s="142">
        <f>398+2420</f>
        <v>2818</v>
      </c>
      <c r="F53" s="142">
        <v>2500</v>
      </c>
      <c r="G53" s="37">
        <v>25000</v>
      </c>
      <c r="H53" s="142">
        <v>27500</v>
      </c>
      <c r="I53" s="142">
        <v>0</v>
      </c>
      <c r="J53" s="142">
        <v>0</v>
      </c>
      <c r="K53" s="141">
        <v>0</v>
      </c>
      <c r="L53" s="140"/>
    </row>
    <row r="54" spans="1:12" s="36" customFormat="1" ht="15" customHeight="1" x14ac:dyDescent="0.25">
      <c r="A54" s="145">
        <v>399</v>
      </c>
      <c r="B54" s="144" t="s">
        <v>205</v>
      </c>
      <c r="C54" s="143">
        <v>3512</v>
      </c>
      <c r="D54" s="142">
        <v>38163</v>
      </c>
      <c r="E54" s="142">
        <f>25.41+34+115+168+511</f>
        <v>853.41</v>
      </c>
      <c r="F54" s="142">
        <v>20834.650000000001</v>
      </c>
      <c r="G54" s="37">
        <v>16475</v>
      </c>
      <c r="H54" s="142">
        <v>0</v>
      </c>
      <c r="I54" s="142">
        <v>0</v>
      </c>
      <c r="J54" s="142">
        <v>0</v>
      </c>
      <c r="K54" s="141">
        <v>0</v>
      </c>
      <c r="L54" s="140"/>
    </row>
    <row r="55" spans="1:12" s="36" customFormat="1" ht="15" customHeight="1" x14ac:dyDescent="0.25">
      <c r="A55" s="145">
        <v>401</v>
      </c>
      <c r="B55" s="144" t="s">
        <v>441</v>
      </c>
      <c r="C55" s="143">
        <v>3672</v>
      </c>
      <c r="D55" s="142">
        <v>87845</v>
      </c>
      <c r="E55" s="142">
        <f>509.54+295</f>
        <v>804.54</v>
      </c>
      <c r="F55" s="142">
        <v>10790.45</v>
      </c>
      <c r="G55" s="37">
        <v>60000</v>
      </c>
      <c r="H55" s="142">
        <v>16250</v>
      </c>
      <c r="I55" s="142">
        <v>0</v>
      </c>
      <c r="J55" s="142">
        <v>0</v>
      </c>
      <c r="K55" s="141">
        <v>0</v>
      </c>
      <c r="L55" s="140"/>
    </row>
    <row r="56" spans="1:12" s="36" customFormat="1" ht="24" customHeight="1" x14ac:dyDescent="0.25">
      <c r="A56" s="145">
        <v>403</v>
      </c>
      <c r="B56" s="144" t="s">
        <v>256</v>
      </c>
      <c r="C56" s="143">
        <v>3539</v>
      </c>
      <c r="D56" s="142">
        <v>32912</v>
      </c>
      <c r="E56" s="142">
        <v>9.73</v>
      </c>
      <c r="F56" s="142">
        <v>10954.39</v>
      </c>
      <c r="G56" s="37">
        <v>700</v>
      </c>
      <c r="H56" s="142">
        <v>639</v>
      </c>
      <c r="I56" s="142">
        <v>0</v>
      </c>
      <c r="J56" s="142">
        <v>0</v>
      </c>
      <c r="K56" s="141">
        <v>0</v>
      </c>
      <c r="L56" s="140" t="s">
        <v>49</v>
      </c>
    </row>
    <row r="57" spans="1:12" s="36" customFormat="1" ht="24" customHeight="1" x14ac:dyDescent="0.25">
      <c r="A57" s="145">
        <v>404</v>
      </c>
      <c r="B57" s="144" t="s">
        <v>442</v>
      </c>
      <c r="C57" s="143">
        <v>3506</v>
      </c>
      <c r="D57" s="142">
        <v>11204.27</v>
      </c>
      <c r="E57" s="142">
        <v>609.19999999999993</v>
      </c>
      <c r="F57" s="142">
        <v>4101.74</v>
      </c>
      <c r="G57" s="37">
        <v>390</v>
      </c>
      <c r="H57" s="142">
        <v>50</v>
      </c>
      <c r="I57" s="142">
        <v>0</v>
      </c>
      <c r="J57" s="142">
        <v>0</v>
      </c>
      <c r="K57" s="141">
        <v>0</v>
      </c>
      <c r="L57" s="140" t="s">
        <v>49</v>
      </c>
    </row>
    <row r="58" spans="1:12" s="36" customFormat="1" ht="24" customHeight="1" x14ac:dyDescent="0.25">
      <c r="A58" s="145">
        <v>405</v>
      </c>
      <c r="B58" s="144" t="s">
        <v>443</v>
      </c>
      <c r="C58" s="143">
        <v>3660</v>
      </c>
      <c r="D58" s="142">
        <v>47680.85</v>
      </c>
      <c r="E58" s="142">
        <v>0</v>
      </c>
      <c r="F58" s="142">
        <v>0</v>
      </c>
      <c r="G58" s="37">
        <v>37413</v>
      </c>
      <c r="H58" s="142">
        <v>0</v>
      </c>
      <c r="I58" s="142">
        <v>0</v>
      </c>
      <c r="J58" s="142">
        <v>0</v>
      </c>
      <c r="K58" s="141">
        <v>0</v>
      </c>
      <c r="L58" s="140" t="s">
        <v>49</v>
      </c>
    </row>
    <row r="59" spans="1:12" s="36" customFormat="1" ht="24" customHeight="1" x14ac:dyDescent="0.25">
      <c r="A59" s="145">
        <v>406</v>
      </c>
      <c r="B59" s="144" t="s">
        <v>444</v>
      </c>
      <c r="C59" s="143">
        <v>3661</v>
      </c>
      <c r="D59" s="142">
        <v>48417</v>
      </c>
      <c r="E59" s="142">
        <v>0</v>
      </c>
      <c r="F59" s="142">
        <v>0</v>
      </c>
      <c r="G59" s="37">
        <v>37948</v>
      </c>
      <c r="H59" s="142">
        <v>0</v>
      </c>
      <c r="I59" s="142">
        <v>0</v>
      </c>
      <c r="J59" s="142">
        <v>0</v>
      </c>
      <c r="K59" s="141">
        <v>0</v>
      </c>
      <c r="L59" s="140" t="s">
        <v>49</v>
      </c>
    </row>
    <row r="60" spans="1:12" s="36" customFormat="1" ht="24" customHeight="1" x14ac:dyDescent="0.25">
      <c r="A60" s="145">
        <v>407</v>
      </c>
      <c r="B60" s="144" t="s">
        <v>257</v>
      </c>
      <c r="C60" s="143">
        <v>3540</v>
      </c>
      <c r="D60" s="142">
        <v>8968</v>
      </c>
      <c r="E60" s="142">
        <v>1118.5</v>
      </c>
      <c r="F60" s="142">
        <v>3366.28</v>
      </c>
      <c r="G60" s="37">
        <v>385</v>
      </c>
      <c r="H60" s="142">
        <v>92</v>
      </c>
      <c r="I60" s="142">
        <v>0</v>
      </c>
      <c r="J60" s="142">
        <v>0</v>
      </c>
      <c r="K60" s="141">
        <v>0</v>
      </c>
      <c r="L60" s="140" t="s">
        <v>49</v>
      </c>
    </row>
    <row r="61" spans="1:12" s="36" customFormat="1" ht="24" customHeight="1" x14ac:dyDescent="0.25">
      <c r="A61" s="145">
        <v>408</v>
      </c>
      <c r="B61" s="144" t="s">
        <v>255</v>
      </c>
      <c r="C61" s="143">
        <v>3507</v>
      </c>
      <c r="D61" s="142">
        <v>33871.83</v>
      </c>
      <c r="E61" s="142">
        <v>11.4</v>
      </c>
      <c r="F61" s="142">
        <v>11589.06</v>
      </c>
      <c r="G61" s="37">
        <v>1060</v>
      </c>
      <c r="H61" s="142">
        <v>687</v>
      </c>
      <c r="I61" s="142">
        <v>0</v>
      </c>
      <c r="J61" s="142">
        <v>0</v>
      </c>
      <c r="K61" s="141">
        <v>0</v>
      </c>
      <c r="L61" s="140" t="s">
        <v>49</v>
      </c>
    </row>
    <row r="62" spans="1:12" s="36" customFormat="1" ht="24" customHeight="1" x14ac:dyDescent="0.25">
      <c r="A62" s="145">
        <v>409</v>
      </c>
      <c r="B62" s="144" t="s">
        <v>206</v>
      </c>
      <c r="C62" s="143">
        <v>3511</v>
      </c>
      <c r="D62" s="142">
        <v>18551.560000000001</v>
      </c>
      <c r="E62" s="142">
        <v>5626.22</v>
      </c>
      <c r="F62" s="142">
        <v>8174.88</v>
      </c>
      <c r="G62" s="37">
        <v>435</v>
      </c>
      <c r="H62" s="142">
        <v>0</v>
      </c>
      <c r="I62" s="142">
        <v>0</v>
      </c>
      <c r="J62" s="142">
        <v>0</v>
      </c>
      <c r="K62" s="141">
        <v>0</v>
      </c>
      <c r="L62" s="140" t="s">
        <v>49</v>
      </c>
    </row>
    <row r="63" spans="1:12" s="36" customFormat="1" ht="24" customHeight="1" x14ac:dyDescent="0.25">
      <c r="A63" s="145">
        <v>410</v>
      </c>
      <c r="B63" s="144" t="s">
        <v>445</v>
      </c>
      <c r="C63" s="143">
        <v>3631</v>
      </c>
      <c r="D63" s="142">
        <v>20200</v>
      </c>
      <c r="E63" s="142">
        <v>0</v>
      </c>
      <c r="F63" s="142">
        <v>0</v>
      </c>
      <c r="G63" s="37">
        <v>900</v>
      </c>
      <c r="H63" s="142">
        <v>700</v>
      </c>
      <c r="I63" s="142">
        <v>800</v>
      </c>
      <c r="J63" s="142">
        <v>800</v>
      </c>
      <c r="K63" s="141">
        <v>0</v>
      </c>
      <c r="L63" s="140" t="s">
        <v>49</v>
      </c>
    </row>
    <row r="64" spans="1:12" s="36" customFormat="1" ht="24" customHeight="1" x14ac:dyDescent="0.25">
      <c r="A64" s="145">
        <v>411</v>
      </c>
      <c r="B64" s="144" t="s">
        <v>446</v>
      </c>
      <c r="C64" s="143">
        <v>3509</v>
      </c>
      <c r="D64" s="142">
        <v>18777.2</v>
      </c>
      <c r="E64" s="142">
        <v>5604.3099999999995</v>
      </c>
      <c r="F64" s="142">
        <v>6745.9400000000005</v>
      </c>
      <c r="G64" s="37">
        <v>621</v>
      </c>
      <c r="H64" s="142">
        <v>0</v>
      </c>
      <c r="I64" s="142">
        <v>0</v>
      </c>
      <c r="J64" s="142">
        <v>0</v>
      </c>
      <c r="K64" s="141">
        <v>0</v>
      </c>
      <c r="L64" s="140" t="s">
        <v>49</v>
      </c>
    </row>
    <row r="65" spans="1:12" s="36" customFormat="1" ht="15" customHeight="1" x14ac:dyDescent="0.25">
      <c r="A65" s="145">
        <v>412</v>
      </c>
      <c r="B65" s="144" t="s">
        <v>129</v>
      </c>
      <c r="C65" s="143">
        <v>3402</v>
      </c>
      <c r="D65" s="142">
        <v>310530.92</v>
      </c>
      <c r="E65" s="142">
        <v>118530.92</v>
      </c>
      <c r="F65" s="142">
        <v>102000</v>
      </c>
      <c r="G65" s="37">
        <v>90000</v>
      </c>
      <c r="H65" s="142">
        <v>0</v>
      </c>
      <c r="I65" s="142">
        <v>0</v>
      </c>
      <c r="J65" s="142">
        <v>0</v>
      </c>
      <c r="K65" s="141">
        <v>0</v>
      </c>
      <c r="L65" s="140"/>
    </row>
    <row r="66" spans="1:12" s="36" customFormat="1" ht="15" customHeight="1" x14ac:dyDescent="0.25">
      <c r="A66" s="145">
        <v>414</v>
      </c>
      <c r="B66" s="144" t="s">
        <v>297</v>
      </c>
      <c r="C66" s="143">
        <v>3557</v>
      </c>
      <c r="D66" s="142">
        <v>75713</v>
      </c>
      <c r="E66" s="142">
        <f>13805.81+73+20+46</f>
        <v>13944.81</v>
      </c>
      <c r="F66" s="142">
        <v>20706</v>
      </c>
      <c r="G66" s="37">
        <v>41062</v>
      </c>
      <c r="H66" s="142">
        <v>0</v>
      </c>
      <c r="I66" s="142">
        <v>0</v>
      </c>
      <c r="J66" s="142">
        <v>0</v>
      </c>
      <c r="K66" s="141">
        <v>0</v>
      </c>
      <c r="L66" s="140"/>
    </row>
    <row r="67" spans="1:12" s="36" customFormat="1" ht="15" customHeight="1" x14ac:dyDescent="0.25">
      <c r="A67" s="145">
        <v>416</v>
      </c>
      <c r="B67" s="144" t="s">
        <v>447</v>
      </c>
      <c r="C67" s="143">
        <v>3629</v>
      </c>
      <c r="D67" s="142">
        <v>21100</v>
      </c>
      <c r="E67" s="142">
        <v>4500</v>
      </c>
      <c r="F67" s="142">
        <v>3000</v>
      </c>
      <c r="G67" s="37">
        <v>13600</v>
      </c>
      <c r="H67" s="142">
        <v>0</v>
      </c>
      <c r="I67" s="142">
        <v>0</v>
      </c>
      <c r="J67" s="142">
        <v>0</v>
      </c>
      <c r="K67" s="141">
        <v>0</v>
      </c>
      <c r="L67" s="140"/>
    </row>
    <row r="68" spans="1:12" s="36" customFormat="1" ht="24" customHeight="1" x14ac:dyDescent="0.25">
      <c r="A68" s="145">
        <v>418</v>
      </c>
      <c r="B68" s="144" t="s">
        <v>298</v>
      </c>
      <c r="C68" s="143">
        <v>3545</v>
      </c>
      <c r="D68" s="142">
        <v>98707</v>
      </c>
      <c r="E68" s="142">
        <f>762+945</f>
        <v>1707</v>
      </c>
      <c r="F68" s="142">
        <v>300</v>
      </c>
      <c r="G68" s="37">
        <v>41000</v>
      </c>
      <c r="H68" s="142">
        <v>50500</v>
      </c>
      <c r="I68" s="142">
        <v>5200</v>
      </c>
      <c r="J68" s="142">
        <v>0</v>
      </c>
      <c r="K68" s="141">
        <v>0</v>
      </c>
      <c r="L68" s="140"/>
    </row>
    <row r="69" spans="1:12" s="36" customFormat="1" ht="24" customHeight="1" x14ac:dyDescent="0.25">
      <c r="A69" s="145">
        <v>420</v>
      </c>
      <c r="B69" s="144" t="s">
        <v>448</v>
      </c>
      <c r="C69" s="143">
        <v>3662</v>
      </c>
      <c r="D69" s="142">
        <v>30100</v>
      </c>
      <c r="E69" s="142">
        <v>0</v>
      </c>
      <c r="F69" s="142">
        <v>0</v>
      </c>
      <c r="G69" s="37">
        <v>1350</v>
      </c>
      <c r="H69" s="142">
        <v>1625</v>
      </c>
      <c r="I69" s="142">
        <v>1625</v>
      </c>
      <c r="J69" s="142">
        <v>0</v>
      </c>
      <c r="K69" s="141">
        <v>0</v>
      </c>
      <c r="L69" s="140" t="s">
        <v>49</v>
      </c>
    </row>
    <row r="70" spans="1:12" s="36" customFormat="1" ht="24" customHeight="1" x14ac:dyDescent="0.25">
      <c r="A70" s="145">
        <v>421</v>
      </c>
      <c r="B70" s="144" t="s">
        <v>449</v>
      </c>
      <c r="C70" s="143">
        <v>3664</v>
      </c>
      <c r="D70" s="142">
        <v>3833</v>
      </c>
      <c r="E70" s="142">
        <v>0</v>
      </c>
      <c r="F70" s="142">
        <v>0</v>
      </c>
      <c r="G70" s="37">
        <v>900</v>
      </c>
      <c r="H70" s="142">
        <v>1000</v>
      </c>
      <c r="I70" s="142">
        <v>1000</v>
      </c>
      <c r="J70" s="142">
        <v>933</v>
      </c>
      <c r="K70" s="141">
        <v>0</v>
      </c>
      <c r="L70" s="140"/>
    </row>
    <row r="71" spans="1:12" s="36" customFormat="1" ht="15" customHeight="1" x14ac:dyDescent="0.25">
      <c r="A71" s="145">
        <v>422</v>
      </c>
      <c r="B71" s="144" t="s">
        <v>450</v>
      </c>
      <c r="C71" s="143">
        <v>3581</v>
      </c>
      <c r="D71" s="142">
        <v>175000</v>
      </c>
      <c r="E71" s="142">
        <v>0</v>
      </c>
      <c r="F71" s="142">
        <v>3975</v>
      </c>
      <c r="G71" s="37">
        <v>74500</v>
      </c>
      <c r="H71" s="142">
        <v>56525</v>
      </c>
      <c r="I71" s="142">
        <v>40000</v>
      </c>
      <c r="J71" s="142">
        <v>0</v>
      </c>
      <c r="K71" s="141">
        <v>0</v>
      </c>
      <c r="L71" s="140"/>
    </row>
    <row r="72" spans="1:12" s="36" customFormat="1" ht="15" customHeight="1" x14ac:dyDescent="0.25">
      <c r="A72" s="145">
        <v>424</v>
      </c>
      <c r="B72" s="144" t="s">
        <v>418</v>
      </c>
      <c r="C72" s="143">
        <v>3579</v>
      </c>
      <c r="D72" s="142">
        <v>64999.99</v>
      </c>
      <c r="E72" s="142">
        <v>114.34</v>
      </c>
      <c r="F72" s="142">
        <v>2385.65</v>
      </c>
      <c r="G72" s="37">
        <v>35000</v>
      </c>
      <c r="H72" s="142">
        <v>27500</v>
      </c>
      <c r="I72" s="142">
        <v>0</v>
      </c>
      <c r="J72" s="142">
        <v>0</v>
      </c>
      <c r="K72" s="141">
        <v>0</v>
      </c>
      <c r="L72" s="140"/>
    </row>
    <row r="73" spans="1:12" s="36" customFormat="1" ht="15" customHeight="1" x14ac:dyDescent="0.25">
      <c r="A73" s="145">
        <v>426</v>
      </c>
      <c r="B73" s="144" t="s">
        <v>451</v>
      </c>
      <c r="C73" s="143">
        <v>3580</v>
      </c>
      <c r="D73" s="142">
        <v>85031</v>
      </c>
      <c r="E73" s="142">
        <v>131</v>
      </c>
      <c r="F73" s="142">
        <v>2899.57</v>
      </c>
      <c r="G73" s="37">
        <v>50000</v>
      </c>
      <c r="H73" s="142">
        <v>32000</v>
      </c>
      <c r="I73" s="142">
        <v>0</v>
      </c>
      <c r="J73" s="142">
        <v>0</v>
      </c>
      <c r="K73" s="141">
        <v>0</v>
      </c>
      <c r="L73" s="140"/>
    </row>
    <row r="74" spans="1:12" s="36" customFormat="1" ht="15" customHeight="1" x14ac:dyDescent="0.25">
      <c r="A74" s="145">
        <v>428</v>
      </c>
      <c r="B74" s="144" t="s">
        <v>452</v>
      </c>
      <c r="C74" s="143">
        <v>3582</v>
      </c>
      <c r="D74" s="142">
        <v>130000</v>
      </c>
      <c r="E74" s="142">
        <v>378.13</v>
      </c>
      <c r="F74" s="142">
        <v>2621.87</v>
      </c>
      <c r="G74" s="37">
        <v>60000</v>
      </c>
      <c r="H74" s="142">
        <v>67000</v>
      </c>
      <c r="I74" s="142">
        <v>0</v>
      </c>
      <c r="J74" s="142">
        <v>0</v>
      </c>
      <c r="K74" s="141">
        <v>0</v>
      </c>
      <c r="L74" s="140"/>
    </row>
    <row r="75" spans="1:12" s="36" customFormat="1" ht="24" customHeight="1" x14ac:dyDescent="0.25">
      <c r="A75" s="145">
        <v>430</v>
      </c>
      <c r="B75" s="144" t="s">
        <v>300</v>
      </c>
      <c r="C75" s="143">
        <v>3544</v>
      </c>
      <c r="D75" s="142">
        <v>26662</v>
      </c>
      <c r="E75" s="142">
        <v>662</v>
      </c>
      <c r="F75" s="142">
        <v>10200</v>
      </c>
      <c r="G75" s="37">
        <v>15800</v>
      </c>
      <c r="H75" s="142">
        <v>0</v>
      </c>
      <c r="I75" s="142">
        <v>0</v>
      </c>
      <c r="J75" s="142">
        <v>0</v>
      </c>
      <c r="K75" s="141">
        <v>0</v>
      </c>
      <c r="L75" s="140"/>
    </row>
    <row r="76" spans="1:12" s="36" customFormat="1" ht="24" customHeight="1" x14ac:dyDescent="0.25">
      <c r="A76" s="145">
        <v>432</v>
      </c>
      <c r="B76" s="144" t="s">
        <v>301</v>
      </c>
      <c r="C76" s="143">
        <v>3543</v>
      </c>
      <c r="D76" s="142">
        <v>126348</v>
      </c>
      <c r="E76" s="142">
        <f>1819.84+348</f>
        <v>2167.84</v>
      </c>
      <c r="F76" s="142">
        <v>45810.16</v>
      </c>
      <c r="G76" s="37">
        <v>77710</v>
      </c>
      <c r="H76" s="142">
        <v>660</v>
      </c>
      <c r="I76" s="142">
        <v>0</v>
      </c>
      <c r="J76" s="142">
        <v>0</v>
      </c>
      <c r="K76" s="141">
        <v>0</v>
      </c>
      <c r="L76" s="140"/>
    </row>
    <row r="77" spans="1:12" s="36" customFormat="1" ht="24" customHeight="1" x14ac:dyDescent="0.25">
      <c r="A77" s="145">
        <v>434</v>
      </c>
      <c r="B77" s="144" t="s">
        <v>168</v>
      </c>
      <c r="C77" s="143">
        <v>3425</v>
      </c>
      <c r="D77" s="142">
        <v>102455</v>
      </c>
      <c r="E77" s="142">
        <f>48717.73+455</f>
        <v>49172.73</v>
      </c>
      <c r="F77" s="142">
        <v>30000.28</v>
      </c>
      <c r="G77" s="37">
        <v>23282</v>
      </c>
      <c r="H77" s="142">
        <v>0</v>
      </c>
      <c r="I77" s="142">
        <v>0</v>
      </c>
      <c r="J77" s="142">
        <v>0</v>
      </c>
      <c r="K77" s="141">
        <v>0</v>
      </c>
      <c r="L77" s="140"/>
    </row>
    <row r="78" spans="1:12" s="36" customFormat="1" ht="24" customHeight="1" x14ac:dyDescent="0.25">
      <c r="A78" s="145">
        <v>436</v>
      </c>
      <c r="B78" s="144" t="s">
        <v>258</v>
      </c>
      <c r="C78" s="143">
        <v>3510</v>
      </c>
      <c r="D78" s="142">
        <v>15600</v>
      </c>
      <c r="E78" s="142">
        <v>89.429999999999993</v>
      </c>
      <c r="F78" s="142">
        <v>5178.3999999999996</v>
      </c>
      <c r="G78" s="37">
        <v>630</v>
      </c>
      <c r="H78" s="142">
        <v>0</v>
      </c>
      <c r="I78" s="142">
        <v>0</v>
      </c>
      <c r="J78" s="142">
        <v>0</v>
      </c>
      <c r="K78" s="141">
        <v>0</v>
      </c>
      <c r="L78" s="140" t="s">
        <v>49</v>
      </c>
    </row>
    <row r="79" spans="1:12" s="36" customFormat="1" ht="15.75" customHeight="1" x14ac:dyDescent="0.25">
      <c r="A79" s="452" t="s">
        <v>42</v>
      </c>
      <c r="B79" s="453" t="s">
        <v>453</v>
      </c>
      <c r="C79" s="181">
        <f>COUNT(C53:C78)</f>
        <v>26</v>
      </c>
      <c r="D79" s="38">
        <f>SUM(D53:D78)</f>
        <v>1690488.6199999999</v>
      </c>
      <c r="E79" s="38">
        <f t="shared" ref="E79:K79" si="6">SUM(E53:E78)</f>
        <v>208853.50999999998</v>
      </c>
      <c r="F79" s="38">
        <f t="shared" si="6"/>
        <v>308134.32000000007</v>
      </c>
      <c r="G79" s="38">
        <f t="shared" si="6"/>
        <v>706161</v>
      </c>
      <c r="H79" s="38">
        <f t="shared" si="6"/>
        <v>282728</v>
      </c>
      <c r="I79" s="38">
        <f t="shared" si="6"/>
        <v>48625</v>
      </c>
      <c r="J79" s="38">
        <f t="shared" si="6"/>
        <v>1733</v>
      </c>
      <c r="K79" s="38">
        <f t="shared" si="6"/>
        <v>0</v>
      </c>
      <c r="L79" s="39"/>
    </row>
    <row r="80" spans="1:12" s="36" customFormat="1" ht="18" customHeight="1" x14ac:dyDescent="0.25">
      <c r="A80" s="148" t="s">
        <v>43</v>
      </c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6"/>
    </row>
    <row r="81" spans="1:12" s="36" customFormat="1" ht="15" customHeight="1" x14ac:dyDescent="0.25">
      <c r="A81" s="145">
        <v>696</v>
      </c>
      <c r="B81" s="144" t="s">
        <v>454</v>
      </c>
      <c r="C81" s="143">
        <v>3610</v>
      </c>
      <c r="D81" s="142">
        <v>9097</v>
      </c>
      <c r="E81" s="142">
        <v>97</v>
      </c>
      <c r="F81" s="142">
        <v>538</v>
      </c>
      <c r="G81" s="37">
        <v>8462</v>
      </c>
      <c r="H81" s="142">
        <v>0</v>
      </c>
      <c r="I81" s="142">
        <v>0</v>
      </c>
      <c r="J81" s="142">
        <v>0</v>
      </c>
      <c r="K81" s="141">
        <v>0</v>
      </c>
      <c r="L81" s="140"/>
    </row>
    <row r="82" spans="1:12" s="36" customFormat="1" ht="15" customHeight="1" x14ac:dyDescent="0.25">
      <c r="A82" s="145">
        <v>698</v>
      </c>
      <c r="B82" s="144" t="s">
        <v>455</v>
      </c>
      <c r="C82" s="143">
        <v>3618</v>
      </c>
      <c r="D82" s="142">
        <v>135050</v>
      </c>
      <c r="E82" s="142">
        <f>2731+19</f>
        <v>2750</v>
      </c>
      <c r="F82" s="142">
        <v>115</v>
      </c>
      <c r="G82" s="37">
        <v>66150</v>
      </c>
      <c r="H82" s="142">
        <v>66035</v>
      </c>
      <c r="I82" s="142">
        <v>0</v>
      </c>
      <c r="J82" s="142">
        <v>0</v>
      </c>
      <c r="K82" s="141">
        <v>0</v>
      </c>
      <c r="L82" s="140"/>
    </row>
    <row r="83" spans="1:12" s="36" customFormat="1" ht="15" customHeight="1" x14ac:dyDescent="0.25">
      <c r="A83" s="145">
        <v>700</v>
      </c>
      <c r="B83" s="144" t="s">
        <v>456</v>
      </c>
      <c r="C83" s="143">
        <v>3620</v>
      </c>
      <c r="D83" s="142">
        <v>86499.83</v>
      </c>
      <c r="E83" s="142">
        <v>0</v>
      </c>
      <c r="F83" s="142">
        <v>26.83</v>
      </c>
      <c r="G83" s="37">
        <v>4736</v>
      </c>
      <c r="H83" s="142">
        <v>0</v>
      </c>
      <c r="I83" s="142">
        <v>53590</v>
      </c>
      <c r="J83" s="142">
        <v>28147</v>
      </c>
      <c r="K83" s="141">
        <v>0</v>
      </c>
      <c r="L83" s="140"/>
    </row>
    <row r="84" spans="1:12" s="36" customFormat="1" ht="15" customHeight="1" x14ac:dyDescent="0.25">
      <c r="A84" s="145">
        <v>702</v>
      </c>
      <c r="B84" s="144" t="s">
        <v>457</v>
      </c>
      <c r="C84" s="143">
        <v>3626</v>
      </c>
      <c r="D84" s="142">
        <v>51999.83</v>
      </c>
      <c r="E84" s="142">
        <v>0</v>
      </c>
      <c r="F84" s="142">
        <v>26.83</v>
      </c>
      <c r="G84" s="37">
        <v>2339</v>
      </c>
      <c r="H84" s="142">
        <v>0</v>
      </c>
      <c r="I84" s="142">
        <v>0</v>
      </c>
      <c r="J84" s="142">
        <v>49634</v>
      </c>
      <c r="K84" s="141">
        <v>0</v>
      </c>
      <c r="L84" s="140"/>
    </row>
    <row r="85" spans="1:12" s="36" customFormat="1" ht="15" customHeight="1" x14ac:dyDescent="0.25">
      <c r="A85" s="145">
        <v>704</v>
      </c>
      <c r="B85" s="144" t="s">
        <v>458</v>
      </c>
      <c r="C85" s="143">
        <v>3615</v>
      </c>
      <c r="D85" s="142">
        <v>76557</v>
      </c>
      <c r="E85" s="142">
        <v>557</v>
      </c>
      <c r="F85" s="142">
        <v>26.83</v>
      </c>
      <c r="G85" s="37">
        <v>4269</v>
      </c>
      <c r="H85" s="142">
        <v>35420</v>
      </c>
      <c r="I85" s="142">
        <v>36284</v>
      </c>
      <c r="J85" s="142">
        <v>0</v>
      </c>
      <c r="K85" s="141">
        <v>0</v>
      </c>
      <c r="L85" s="140"/>
    </row>
    <row r="86" spans="1:12" s="36" customFormat="1" ht="15" customHeight="1" x14ac:dyDescent="0.25">
      <c r="A86" s="145">
        <v>706</v>
      </c>
      <c r="B86" s="144" t="s">
        <v>459</v>
      </c>
      <c r="C86" s="143">
        <v>3611</v>
      </c>
      <c r="D86" s="142">
        <v>230999.83000000002</v>
      </c>
      <c r="E86" s="142">
        <v>0</v>
      </c>
      <c r="F86" s="142">
        <v>750.83</v>
      </c>
      <c r="G86" s="37">
        <v>10525</v>
      </c>
      <c r="H86" s="142">
        <v>71320</v>
      </c>
      <c r="I86" s="142">
        <v>71320</v>
      </c>
      <c r="J86" s="142">
        <v>77084</v>
      </c>
      <c r="K86" s="141">
        <v>0</v>
      </c>
      <c r="L86" s="140"/>
    </row>
    <row r="87" spans="1:12" s="36" customFormat="1" ht="15" customHeight="1" x14ac:dyDescent="0.25">
      <c r="A87" s="145">
        <v>708</v>
      </c>
      <c r="B87" s="144" t="s">
        <v>460</v>
      </c>
      <c r="C87" s="143">
        <v>3613</v>
      </c>
      <c r="D87" s="142">
        <v>14400.48</v>
      </c>
      <c r="E87" s="142">
        <v>175.45</v>
      </c>
      <c r="F87" s="142">
        <v>697.03</v>
      </c>
      <c r="G87" s="37">
        <v>13528</v>
      </c>
      <c r="H87" s="142">
        <v>0</v>
      </c>
      <c r="I87" s="142">
        <v>0</v>
      </c>
      <c r="J87" s="142">
        <v>0</v>
      </c>
      <c r="K87" s="141">
        <v>0</v>
      </c>
      <c r="L87" s="140"/>
    </row>
    <row r="88" spans="1:12" s="36" customFormat="1" ht="15" customHeight="1" x14ac:dyDescent="0.25">
      <c r="A88" s="145">
        <v>710</v>
      </c>
      <c r="B88" s="144" t="s">
        <v>462</v>
      </c>
      <c r="C88" s="143">
        <v>3619</v>
      </c>
      <c r="D88" s="142">
        <v>122476</v>
      </c>
      <c r="E88" s="142">
        <v>476</v>
      </c>
      <c r="F88" s="142">
        <v>26.83</v>
      </c>
      <c r="G88" s="37">
        <v>6432</v>
      </c>
      <c r="H88" s="142">
        <v>0</v>
      </c>
      <c r="I88" s="142">
        <v>59180</v>
      </c>
      <c r="J88" s="142">
        <v>56361</v>
      </c>
      <c r="K88" s="141">
        <v>0</v>
      </c>
      <c r="L88" s="140"/>
    </row>
    <row r="89" spans="1:12" s="36" customFormat="1" ht="15" customHeight="1" x14ac:dyDescent="0.25">
      <c r="A89" s="145">
        <v>712</v>
      </c>
      <c r="B89" s="144" t="s">
        <v>461</v>
      </c>
      <c r="C89" s="143">
        <v>3617</v>
      </c>
      <c r="D89" s="142">
        <v>34014</v>
      </c>
      <c r="E89" s="142">
        <f>152+112</f>
        <v>264</v>
      </c>
      <c r="F89" s="142">
        <v>783.80000000000007</v>
      </c>
      <c r="G89" s="37">
        <v>32966</v>
      </c>
      <c r="H89" s="142">
        <v>0</v>
      </c>
      <c r="I89" s="142">
        <v>0</v>
      </c>
      <c r="J89" s="142">
        <v>0</v>
      </c>
      <c r="K89" s="141">
        <v>0</v>
      </c>
      <c r="L89" s="140"/>
    </row>
    <row r="90" spans="1:12" s="36" customFormat="1" ht="15" customHeight="1" x14ac:dyDescent="0.25">
      <c r="A90" s="145">
        <v>714</v>
      </c>
      <c r="B90" s="144" t="s">
        <v>390</v>
      </c>
      <c r="C90" s="143">
        <v>3612</v>
      </c>
      <c r="D90" s="142">
        <v>9714</v>
      </c>
      <c r="E90" s="142">
        <f>46+218</f>
        <v>264</v>
      </c>
      <c r="F90" s="142">
        <v>115</v>
      </c>
      <c r="G90" s="37">
        <v>9335</v>
      </c>
      <c r="H90" s="142">
        <v>0</v>
      </c>
      <c r="I90" s="142">
        <v>0</v>
      </c>
      <c r="J90" s="142">
        <v>0</v>
      </c>
      <c r="K90" s="141">
        <v>0</v>
      </c>
      <c r="L90" s="140"/>
    </row>
    <row r="91" spans="1:12" s="36" customFormat="1" ht="15" customHeight="1" x14ac:dyDescent="0.25">
      <c r="A91" s="145">
        <v>716</v>
      </c>
      <c r="B91" s="144" t="s">
        <v>463</v>
      </c>
      <c r="C91" s="143">
        <v>3607</v>
      </c>
      <c r="D91" s="142">
        <v>71999.83</v>
      </c>
      <c r="E91" s="142">
        <v>0</v>
      </c>
      <c r="F91" s="142">
        <v>26.83</v>
      </c>
      <c r="G91" s="37">
        <v>4579</v>
      </c>
      <c r="H91" s="142">
        <v>33170</v>
      </c>
      <c r="I91" s="142">
        <v>34224</v>
      </c>
      <c r="J91" s="142">
        <v>0</v>
      </c>
      <c r="K91" s="141">
        <v>0</v>
      </c>
      <c r="L91" s="140"/>
    </row>
    <row r="92" spans="1:12" s="36" customFormat="1" ht="15" customHeight="1" x14ac:dyDescent="0.25">
      <c r="A92" s="145">
        <v>718</v>
      </c>
      <c r="B92" s="144" t="s">
        <v>464</v>
      </c>
      <c r="C92" s="143">
        <v>3608</v>
      </c>
      <c r="D92" s="142">
        <v>102150.75</v>
      </c>
      <c r="E92" s="142">
        <v>1089</v>
      </c>
      <c r="F92" s="142">
        <v>651.75</v>
      </c>
      <c r="G92" s="37">
        <v>50055</v>
      </c>
      <c r="H92" s="142">
        <v>50355</v>
      </c>
      <c r="I92" s="142">
        <v>0</v>
      </c>
      <c r="J92" s="142">
        <v>0</v>
      </c>
      <c r="K92" s="141">
        <v>0</v>
      </c>
      <c r="L92" s="140"/>
    </row>
    <row r="93" spans="1:12" s="36" customFormat="1" ht="15" customHeight="1" x14ac:dyDescent="0.25">
      <c r="A93" s="145">
        <v>720</v>
      </c>
      <c r="B93" s="144" t="s">
        <v>465</v>
      </c>
      <c r="C93" s="143">
        <v>3614</v>
      </c>
      <c r="D93" s="142">
        <v>18450</v>
      </c>
      <c r="E93" s="142">
        <v>272.25</v>
      </c>
      <c r="F93" s="142">
        <v>529.75</v>
      </c>
      <c r="G93" s="37">
        <v>17648</v>
      </c>
      <c r="H93" s="142">
        <v>0</v>
      </c>
      <c r="I93" s="142">
        <v>0</v>
      </c>
      <c r="J93" s="142">
        <v>0</v>
      </c>
      <c r="K93" s="141">
        <v>0</v>
      </c>
      <c r="L93" s="140"/>
    </row>
    <row r="94" spans="1:12" s="36" customFormat="1" ht="25.15" customHeight="1" x14ac:dyDescent="0.25">
      <c r="A94" s="145">
        <v>722</v>
      </c>
      <c r="B94" s="144" t="s">
        <v>466</v>
      </c>
      <c r="C94" s="143">
        <v>3609</v>
      </c>
      <c r="D94" s="142">
        <v>41761</v>
      </c>
      <c r="E94" s="142">
        <f>85+636</f>
        <v>721</v>
      </c>
      <c r="F94" s="142">
        <v>995</v>
      </c>
      <c r="G94" s="37">
        <v>40045</v>
      </c>
      <c r="H94" s="142">
        <v>0</v>
      </c>
      <c r="I94" s="142">
        <v>0</v>
      </c>
      <c r="J94" s="142">
        <v>0</v>
      </c>
      <c r="K94" s="141">
        <v>0</v>
      </c>
      <c r="L94" s="140"/>
    </row>
    <row r="95" spans="1:12" s="36" customFormat="1" ht="16.149999999999999" customHeight="1" x14ac:dyDescent="0.25">
      <c r="A95" s="145">
        <v>724</v>
      </c>
      <c r="B95" s="144" t="s">
        <v>467</v>
      </c>
      <c r="C95" s="143">
        <v>3571</v>
      </c>
      <c r="D95" s="142">
        <v>43300</v>
      </c>
      <c r="E95" s="142">
        <v>616</v>
      </c>
      <c r="F95" s="142">
        <v>2284.19</v>
      </c>
      <c r="G95" s="37">
        <v>10400</v>
      </c>
      <c r="H95" s="142">
        <v>20000</v>
      </c>
      <c r="I95" s="142">
        <v>10000</v>
      </c>
      <c r="J95" s="142">
        <v>0</v>
      </c>
      <c r="K95" s="141">
        <v>0</v>
      </c>
      <c r="L95" s="140"/>
    </row>
    <row r="96" spans="1:12" s="36" customFormat="1" ht="24.6" customHeight="1" x14ac:dyDescent="0.25">
      <c r="A96" s="145">
        <v>726</v>
      </c>
      <c r="B96" s="144" t="s">
        <v>468</v>
      </c>
      <c r="C96" s="143">
        <v>3643</v>
      </c>
      <c r="D96" s="142">
        <v>18619</v>
      </c>
      <c r="E96" s="142">
        <f>38+38</f>
        <v>76</v>
      </c>
      <c r="F96" s="142">
        <v>930.8</v>
      </c>
      <c r="G96" s="37">
        <v>17612</v>
      </c>
      <c r="H96" s="142">
        <v>0</v>
      </c>
      <c r="I96" s="142">
        <v>0</v>
      </c>
      <c r="J96" s="142">
        <v>0</v>
      </c>
      <c r="K96" s="141">
        <v>0</v>
      </c>
      <c r="L96" s="140"/>
    </row>
    <row r="97" spans="1:12" s="36" customFormat="1" ht="24" customHeight="1" x14ac:dyDescent="0.25">
      <c r="A97" s="145">
        <v>728</v>
      </c>
      <c r="B97" s="144" t="s">
        <v>511</v>
      </c>
      <c r="C97" s="143">
        <v>3636</v>
      </c>
      <c r="D97" s="142">
        <v>45414.43</v>
      </c>
      <c r="E97" s="142">
        <v>0</v>
      </c>
      <c r="F97" s="142">
        <v>914.43000000000006</v>
      </c>
      <c r="G97" s="37">
        <v>15000</v>
      </c>
      <c r="H97" s="142">
        <v>29500</v>
      </c>
      <c r="I97" s="142">
        <v>0</v>
      </c>
      <c r="J97" s="142">
        <v>0</v>
      </c>
      <c r="K97" s="141">
        <v>0</v>
      </c>
      <c r="L97" s="140"/>
    </row>
    <row r="98" spans="1:12" s="36" customFormat="1" ht="24" customHeight="1" x14ac:dyDescent="0.25">
      <c r="A98" s="145">
        <v>730</v>
      </c>
      <c r="B98" s="144" t="s">
        <v>302</v>
      </c>
      <c r="C98" s="143">
        <v>3596</v>
      </c>
      <c r="D98" s="142">
        <v>247594.88</v>
      </c>
      <c r="E98" s="142">
        <v>0</v>
      </c>
      <c r="F98" s="142">
        <v>45000</v>
      </c>
      <c r="G98" s="37">
        <v>5560</v>
      </c>
      <c r="H98" s="142">
        <v>5500</v>
      </c>
      <c r="I98" s="142">
        <v>5500</v>
      </c>
      <c r="J98" s="142">
        <v>6400</v>
      </c>
      <c r="K98" s="141">
        <v>0</v>
      </c>
      <c r="L98" s="140" t="s">
        <v>49</v>
      </c>
    </row>
    <row r="99" spans="1:12" s="36" customFormat="1" ht="15" customHeight="1" x14ac:dyDescent="0.25">
      <c r="A99" s="145">
        <v>731</v>
      </c>
      <c r="B99" s="144" t="s">
        <v>469</v>
      </c>
      <c r="C99" s="143">
        <v>3666</v>
      </c>
      <c r="D99" s="142">
        <v>38141</v>
      </c>
      <c r="E99" s="142">
        <f>160.93+15</f>
        <v>175.93</v>
      </c>
      <c r="F99" s="142">
        <v>864.91000000000008</v>
      </c>
      <c r="G99" s="37">
        <v>37100</v>
      </c>
      <c r="H99" s="142">
        <v>0</v>
      </c>
      <c r="I99" s="142">
        <v>0</v>
      </c>
      <c r="J99" s="142">
        <v>0</v>
      </c>
      <c r="K99" s="141">
        <v>0</v>
      </c>
      <c r="L99" s="140"/>
    </row>
    <row r="100" spans="1:12" s="36" customFormat="1" ht="15" customHeight="1" x14ac:dyDescent="0.25">
      <c r="A100" s="145">
        <v>733</v>
      </c>
      <c r="B100" s="144" t="s">
        <v>303</v>
      </c>
      <c r="C100" s="143">
        <v>3569</v>
      </c>
      <c r="D100" s="142">
        <v>12990</v>
      </c>
      <c r="E100" s="142">
        <v>1520</v>
      </c>
      <c r="F100" s="142">
        <v>4400</v>
      </c>
      <c r="G100" s="37">
        <v>7070</v>
      </c>
      <c r="H100" s="142">
        <v>0</v>
      </c>
      <c r="I100" s="142">
        <v>0</v>
      </c>
      <c r="J100" s="142">
        <v>0</v>
      </c>
      <c r="K100" s="141">
        <v>0</v>
      </c>
      <c r="L100" s="140"/>
    </row>
    <row r="101" spans="1:12" s="36" customFormat="1" ht="15" customHeight="1" x14ac:dyDescent="0.25">
      <c r="A101" s="145">
        <v>735</v>
      </c>
      <c r="B101" s="144" t="s">
        <v>470</v>
      </c>
      <c r="C101" s="143">
        <v>3525</v>
      </c>
      <c r="D101" s="142">
        <v>10000</v>
      </c>
      <c r="E101" s="142">
        <v>0</v>
      </c>
      <c r="F101" s="142">
        <v>200</v>
      </c>
      <c r="G101" s="37">
        <v>9800</v>
      </c>
      <c r="H101" s="142">
        <v>0</v>
      </c>
      <c r="I101" s="142">
        <v>0</v>
      </c>
      <c r="J101" s="142">
        <v>0</v>
      </c>
      <c r="K101" s="141">
        <v>0</v>
      </c>
      <c r="L101" s="140"/>
    </row>
    <row r="102" spans="1:12" s="36" customFormat="1" ht="24" customHeight="1" x14ac:dyDescent="0.25">
      <c r="A102" s="145">
        <v>737</v>
      </c>
      <c r="B102" s="144" t="s">
        <v>259</v>
      </c>
      <c r="C102" s="143">
        <v>3515</v>
      </c>
      <c r="D102" s="142">
        <v>90075</v>
      </c>
      <c r="E102" s="142">
        <f>1983.92+75</f>
        <v>2058.92</v>
      </c>
      <c r="F102" s="142">
        <v>215</v>
      </c>
      <c r="G102" s="37">
        <v>67000</v>
      </c>
      <c r="H102" s="142">
        <v>20801</v>
      </c>
      <c r="I102" s="142">
        <v>0</v>
      </c>
      <c r="J102" s="142">
        <v>0</v>
      </c>
      <c r="K102" s="141">
        <v>0</v>
      </c>
      <c r="L102" s="140"/>
    </row>
    <row r="103" spans="1:12" s="36" customFormat="1" ht="24" customHeight="1" x14ac:dyDescent="0.25">
      <c r="A103" s="145">
        <v>739</v>
      </c>
      <c r="B103" s="144" t="s">
        <v>260</v>
      </c>
      <c r="C103" s="143">
        <v>3516</v>
      </c>
      <c r="D103" s="142">
        <v>140127</v>
      </c>
      <c r="E103" s="142">
        <f>1276.36+127</f>
        <v>1403.36</v>
      </c>
      <c r="F103" s="142">
        <v>1513.63</v>
      </c>
      <c r="G103" s="37">
        <v>51000</v>
      </c>
      <c r="H103" s="142">
        <v>86210</v>
      </c>
      <c r="I103" s="142">
        <v>0</v>
      </c>
      <c r="J103" s="142">
        <v>0</v>
      </c>
      <c r="K103" s="141">
        <v>0</v>
      </c>
      <c r="L103" s="140"/>
    </row>
    <row r="104" spans="1:12" s="36" customFormat="1" ht="24" customHeight="1" x14ac:dyDescent="0.25">
      <c r="A104" s="145">
        <v>741</v>
      </c>
      <c r="B104" s="144" t="s">
        <v>261</v>
      </c>
      <c r="C104" s="143">
        <v>3517</v>
      </c>
      <c r="D104" s="142">
        <v>130127</v>
      </c>
      <c r="E104" s="142">
        <f>1415.46+127</f>
        <v>1542.46</v>
      </c>
      <c r="F104" s="142">
        <v>2484.5300000000002</v>
      </c>
      <c r="G104" s="37">
        <v>70000</v>
      </c>
      <c r="H104" s="142">
        <v>56100</v>
      </c>
      <c r="I104" s="142">
        <v>0</v>
      </c>
      <c r="J104" s="142">
        <v>0</v>
      </c>
      <c r="K104" s="141">
        <v>0</v>
      </c>
      <c r="L104" s="140"/>
    </row>
    <row r="105" spans="1:12" s="36" customFormat="1" ht="22.9" customHeight="1" x14ac:dyDescent="0.25">
      <c r="A105" s="145">
        <v>743</v>
      </c>
      <c r="B105" s="144" t="s">
        <v>471</v>
      </c>
      <c r="C105" s="143">
        <v>3650</v>
      </c>
      <c r="D105" s="142">
        <v>37500</v>
      </c>
      <c r="E105" s="142">
        <v>0</v>
      </c>
      <c r="F105" s="142">
        <v>0</v>
      </c>
      <c r="G105" s="37">
        <v>30000</v>
      </c>
      <c r="H105" s="142">
        <v>7500</v>
      </c>
      <c r="I105" s="142">
        <v>0</v>
      </c>
      <c r="J105" s="142">
        <v>0</v>
      </c>
      <c r="K105" s="141">
        <v>0</v>
      </c>
      <c r="L105" s="140"/>
    </row>
    <row r="106" spans="1:12" s="36" customFormat="1" ht="24" customHeight="1" x14ac:dyDescent="0.25">
      <c r="A106" s="145">
        <v>745</v>
      </c>
      <c r="B106" s="144" t="s">
        <v>315</v>
      </c>
      <c r="C106" s="143">
        <v>3578</v>
      </c>
      <c r="D106" s="142">
        <v>70881.999999999985</v>
      </c>
      <c r="E106" s="142">
        <v>10591.38</v>
      </c>
      <c r="F106" s="142">
        <v>34784.539999999994</v>
      </c>
      <c r="G106" s="37">
        <v>25506</v>
      </c>
      <c r="H106" s="142">
        <v>0</v>
      </c>
      <c r="I106" s="142">
        <v>0</v>
      </c>
      <c r="J106" s="142">
        <v>0</v>
      </c>
      <c r="K106" s="141">
        <v>0</v>
      </c>
      <c r="L106" s="140" t="s">
        <v>49</v>
      </c>
    </row>
    <row r="107" spans="1:12" s="36" customFormat="1" ht="15" customHeight="1" x14ac:dyDescent="0.25">
      <c r="A107" s="145">
        <v>747</v>
      </c>
      <c r="B107" s="144" t="s">
        <v>416</v>
      </c>
      <c r="C107" s="143">
        <v>3628</v>
      </c>
      <c r="D107" s="142">
        <v>20006</v>
      </c>
      <c r="E107" s="142">
        <v>6</v>
      </c>
      <c r="F107" s="142">
        <v>500</v>
      </c>
      <c r="G107" s="37">
        <v>19500</v>
      </c>
      <c r="H107" s="142">
        <v>0</v>
      </c>
      <c r="I107" s="142">
        <v>0</v>
      </c>
      <c r="J107" s="142">
        <v>0</v>
      </c>
      <c r="K107" s="141">
        <v>0</v>
      </c>
      <c r="L107" s="140"/>
    </row>
    <row r="108" spans="1:12" s="36" customFormat="1" ht="15" customHeight="1" x14ac:dyDescent="0.25">
      <c r="A108" s="145">
        <v>749</v>
      </c>
      <c r="B108" s="144" t="s">
        <v>417</v>
      </c>
      <c r="C108" s="143">
        <v>3627</v>
      </c>
      <c r="D108" s="142">
        <v>12000</v>
      </c>
      <c r="E108" s="142">
        <v>0</v>
      </c>
      <c r="F108" s="142">
        <v>700</v>
      </c>
      <c r="G108" s="37">
        <v>11300</v>
      </c>
      <c r="H108" s="142">
        <v>0</v>
      </c>
      <c r="I108" s="142">
        <v>0</v>
      </c>
      <c r="J108" s="142">
        <v>0</v>
      </c>
      <c r="K108" s="141">
        <v>0</v>
      </c>
      <c r="L108" s="140"/>
    </row>
    <row r="109" spans="1:12" s="36" customFormat="1" ht="15" customHeight="1" x14ac:dyDescent="0.25">
      <c r="A109" s="145">
        <v>751</v>
      </c>
      <c r="B109" s="144" t="s">
        <v>472</v>
      </c>
      <c r="C109" s="143">
        <v>3659</v>
      </c>
      <c r="D109" s="142">
        <v>48020</v>
      </c>
      <c r="E109" s="142">
        <f>575.46+20</f>
        <v>595.46</v>
      </c>
      <c r="F109" s="142">
        <v>10024.65</v>
      </c>
      <c r="G109" s="37">
        <v>37400</v>
      </c>
      <c r="H109" s="142">
        <v>0</v>
      </c>
      <c r="I109" s="142">
        <v>0</v>
      </c>
      <c r="J109" s="142">
        <v>0</v>
      </c>
      <c r="K109" s="141">
        <v>0</v>
      </c>
      <c r="L109" s="140"/>
    </row>
    <row r="110" spans="1:12" s="36" customFormat="1" ht="15" customHeight="1" x14ac:dyDescent="0.25">
      <c r="A110" s="145">
        <v>753</v>
      </c>
      <c r="B110" s="144" t="s">
        <v>473</v>
      </c>
      <c r="C110" s="143">
        <v>3435</v>
      </c>
      <c r="D110" s="142">
        <v>28000.36</v>
      </c>
      <c r="E110" s="142">
        <v>514.26</v>
      </c>
      <c r="F110" s="142">
        <v>712.1</v>
      </c>
      <c r="G110" s="37">
        <v>12000</v>
      </c>
      <c r="H110" s="142">
        <v>14774</v>
      </c>
      <c r="I110" s="142">
        <v>0</v>
      </c>
      <c r="J110" s="142">
        <v>0</v>
      </c>
      <c r="K110" s="141">
        <v>0</v>
      </c>
      <c r="L110" s="140"/>
    </row>
    <row r="111" spans="1:12" s="36" customFormat="1" ht="24" customHeight="1" x14ac:dyDescent="0.25">
      <c r="A111" s="145">
        <v>755</v>
      </c>
      <c r="B111" s="144" t="s">
        <v>474</v>
      </c>
      <c r="C111" s="143">
        <v>3434</v>
      </c>
      <c r="D111" s="142">
        <v>36000.080000000002</v>
      </c>
      <c r="E111" s="142">
        <v>714.19</v>
      </c>
      <c r="F111" s="142">
        <v>916.8900000000001</v>
      </c>
      <c r="G111" s="37">
        <v>18000</v>
      </c>
      <c r="H111" s="142">
        <v>16369</v>
      </c>
      <c r="I111" s="142">
        <v>0</v>
      </c>
      <c r="J111" s="142">
        <v>0</v>
      </c>
      <c r="K111" s="141">
        <v>0</v>
      </c>
      <c r="L111" s="140"/>
    </row>
    <row r="112" spans="1:12" s="36" customFormat="1" ht="24" customHeight="1" x14ac:dyDescent="0.25">
      <c r="A112" s="145">
        <v>757</v>
      </c>
      <c r="B112" s="144" t="s">
        <v>262</v>
      </c>
      <c r="C112" s="143">
        <v>3520</v>
      </c>
      <c r="D112" s="142">
        <v>65000</v>
      </c>
      <c r="E112" s="142">
        <v>1877.6200000000001</v>
      </c>
      <c r="F112" s="142">
        <v>29000</v>
      </c>
      <c r="G112" s="37">
        <v>34123</v>
      </c>
      <c r="H112" s="142">
        <v>0</v>
      </c>
      <c r="I112" s="142">
        <v>0</v>
      </c>
      <c r="J112" s="142">
        <v>0</v>
      </c>
      <c r="K112" s="141">
        <v>0</v>
      </c>
      <c r="L112" s="140"/>
    </row>
    <row r="113" spans="1:12" s="36" customFormat="1" ht="15" customHeight="1" x14ac:dyDescent="0.25">
      <c r="A113" s="145">
        <v>759</v>
      </c>
      <c r="B113" s="144" t="s">
        <v>263</v>
      </c>
      <c r="C113" s="143">
        <v>3502</v>
      </c>
      <c r="D113" s="142">
        <v>1158916.77</v>
      </c>
      <c r="E113" s="142">
        <v>78450</v>
      </c>
      <c r="F113" s="142">
        <v>144390</v>
      </c>
      <c r="G113" s="37">
        <v>218850</v>
      </c>
      <c r="H113" s="142">
        <v>324134</v>
      </c>
      <c r="I113" s="142">
        <v>393093</v>
      </c>
      <c r="J113" s="142">
        <v>0</v>
      </c>
      <c r="K113" s="141">
        <v>0</v>
      </c>
      <c r="L113" s="140"/>
    </row>
    <row r="114" spans="1:12" s="36" customFormat="1" ht="15" customHeight="1" x14ac:dyDescent="0.25">
      <c r="A114" s="145">
        <v>762</v>
      </c>
      <c r="B114" s="144" t="s">
        <v>304</v>
      </c>
      <c r="C114" s="143">
        <v>3594</v>
      </c>
      <c r="D114" s="142">
        <v>91230</v>
      </c>
      <c r="E114" s="142">
        <f>2699.14+230</f>
        <v>2929.14</v>
      </c>
      <c r="F114" s="142">
        <v>30500.85</v>
      </c>
      <c r="G114" s="37">
        <v>57800</v>
      </c>
      <c r="H114" s="142">
        <v>0</v>
      </c>
      <c r="I114" s="142">
        <v>0</v>
      </c>
      <c r="J114" s="142">
        <v>0</v>
      </c>
      <c r="K114" s="141">
        <v>0</v>
      </c>
      <c r="L114" s="140"/>
    </row>
    <row r="115" spans="1:12" s="36" customFormat="1" ht="15.75" customHeight="1" x14ac:dyDescent="0.25">
      <c r="A115" s="452" t="s">
        <v>44</v>
      </c>
      <c r="B115" s="453" t="s">
        <v>475</v>
      </c>
      <c r="C115" s="181">
        <f>COUNT(C81:C114)</f>
        <v>34</v>
      </c>
      <c r="D115" s="38">
        <f t="shared" ref="D115:K115" si="7">SUM(D81:D114)</f>
        <v>3349113.07</v>
      </c>
      <c r="E115" s="38">
        <f t="shared" si="7"/>
        <v>109736.42</v>
      </c>
      <c r="F115" s="38">
        <f t="shared" si="7"/>
        <v>315646.82999999996</v>
      </c>
      <c r="G115" s="38">
        <f t="shared" si="7"/>
        <v>1026090</v>
      </c>
      <c r="H115" s="38">
        <f t="shared" si="7"/>
        <v>837188</v>
      </c>
      <c r="I115" s="38">
        <f t="shared" si="7"/>
        <v>663191</v>
      </c>
      <c r="J115" s="38">
        <f t="shared" si="7"/>
        <v>217626</v>
      </c>
      <c r="K115" s="38">
        <f t="shared" si="7"/>
        <v>0</v>
      </c>
      <c r="L115" s="39"/>
    </row>
    <row r="116" spans="1:12" s="36" customFormat="1" ht="18" customHeight="1" x14ac:dyDescent="0.25">
      <c r="A116" s="148" t="s">
        <v>173</v>
      </c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6"/>
    </row>
    <row r="117" spans="1:12" s="36" customFormat="1" ht="15" customHeight="1" x14ac:dyDescent="0.25">
      <c r="A117" s="145"/>
      <c r="B117" s="144" t="s">
        <v>305</v>
      </c>
      <c r="C117" s="143">
        <v>3572</v>
      </c>
      <c r="D117" s="142">
        <v>95000</v>
      </c>
      <c r="E117" s="142">
        <v>0</v>
      </c>
      <c r="F117" s="142">
        <v>30000</v>
      </c>
      <c r="G117" s="37">
        <v>65000</v>
      </c>
      <c r="H117" s="142">
        <v>0</v>
      </c>
      <c r="I117" s="142">
        <v>0</v>
      </c>
      <c r="J117" s="142">
        <v>0</v>
      </c>
      <c r="K117" s="141">
        <v>0</v>
      </c>
      <c r="L117" s="140"/>
    </row>
    <row r="118" spans="1:12" s="36" customFormat="1" ht="15.75" customHeight="1" x14ac:dyDescent="0.25">
      <c r="A118" s="452" t="s">
        <v>174</v>
      </c>
      <c r="B118" s="453" t="s">
        <v>207</v>
      </c>
      <c r="C118" s="181">
        <f>COUNT(C117)</f>
        <v>1</v>
      </c>
      <c r="D118" s="38">
        <f>SUM(D117)</f>
        <v>95000</v>
      </c>
      <c r="E118" s="38">
        <f t="shared" ref="E118:K118" si="8">SUM(E117)</f>
        <v>0</v>
      </c>
      <c r="F118" s="38">
        <f t="shared" si="8"/>
        <v>30000</v>
      </c>
      <c r="G118" s="38">
        <f t="shared" si="8"/>
        <v>65000</v>
      </c>
      <c r="H118" s="38">
        <f t="shared" si="8"/>
        <v>0</v>
      </c>
      <c r="I118" s="38">
        <f t="shared" si="8"/>
        <v>0</v>
      </c>
      <c r="J118" s="38">
        <f t="shared" si="8"/>
        <v>0</v>
      </c>
      <c r="K118" s="38">
        <f t="shared" si="8"/>
        <v>0</v>
      </c>
      <c r="L118" s="39"/>
    </row>
    <row r="119" spans="1:12" s="36" customFormat="1" ht="18" customHeight="1" x14ac:dyDescent="0.25">
      <c r="A119" s="148" t="s">
        <v>45</v>
      </c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6"/>
    </row>
    <row r="120" spans="1:12" s="36" customFormat="1" ht="15" customHeight="1" x14ac:dyDescent="0.25">
      <c r="A120" s="145">
        <v>854</v>
      </c>
      <c r="B120" s="144" t="s">
        <v>264</v>
      </c>
      <c r="C120" s="143">
        <v>3292</v>
      </c>
      <c r="D120" s="142">
        <v>245000.39</v>
      </c>
      <c r="E120" s="142">
        <v>3404.3900000000003</v>
      </c>
      <c r="F120" s="142">
        <v>12689</v>
      </c>
      <c r="G120" s="37">
        <v>111812</v>
      </c>
      <c r="H120" s="142">
        <v>105730</v>
      </c>
      <c r="I120" s="142">
        <v>11365</v>
      </c>
      <c r="J120" s="142">
        <v>0</v>
      </c>
      <c r="K120" s="141">
        <v>0</v>
      </c>
      <c r="L120" s="140"/>
    </row>
    <row r="121" spans="1:12" s="36" customFormat="1" ht="34.5" customHeight="1" x14ac:dyDescent="0.25">
      <c r="A121" s="145">
        <v>856</v>
      </c>
      <c r="B121" s="144" t="s">
        <v>747</v>
      </c>
      <c r="C121" s="143">
        <v>7062</v>
      </c>
      <c r="D121" s="142">
        <v>43530</v>
      </c>
      <c r="E121" s="142">
        <v>0</v>
      </c>
      <c r="F121" s="142">
        <v>8000</v>
      </c>
      <c r="G121" s="37">
        <v>3940</v>
      </c>
      <c r="H121" s="142">
        <v>2652</v>
      </c>
      <c r="I121" s="142">
        <v>0</v>
      </c>
      <c r="J121" s="142">
        <v>0</v>
      </c>
      <c r="K121" s="141">
        <v>0</v>
      </c>
      <c r="L121" s="140" t="s">
        <v>181</v>
      </c>
    </row>
    <row r="122" spans="1:12" s="36" customFormat="1" ht="15.75" customHeight="1" x14ac:dyDescent="0.25">
      <c r="A122" s="452" t="s">
        <v>46</v>
      </c>
      <c r="B122" s="453" t="s">
        <v>476</v>
      </c>
      <c r="C122" s="181">
        <f>COUNT(C120:C121)</f>
        <v>2</v>
      </c>
      <c r="D122" s="38">
        <f>SUM(D120:D121)</f>
        <v>288530.39</v>
      </c>
      <c r="E122" s="38">
        <f t="shared" ref="E122:K122" si="9">SUM(E120:E121)</f>
        <v>3404.3900000000003</v>
      </c>
      <c r="F122" s="38">
        <f t="shared" si="9"/>
        <v>20689</v>
      </c>
      <c r="G122" s="38">
        <f t="shared" si="9"/>
        <v>115752</v>
      </c>
      <c r="H122" s="38">
        <f t="shared" si="9"/>
        <v>108382</v>
      </c>
      <c r="I122" s="38">
        <f t="shared" si="9"/>
        <v>11365</v>
      </c>
      <c r="J122" s="38">
        <f t="shared" si="9"/>
        <v>0</v>
      </c>
      <c r="K122" s="38">
        <f t="shared" si="9"/>
        <v>0</v>
      </c>
      <c r="L122" s="39"/>
    </row>
    <row r="123" spans="1:12" s="36" customFormat="1" ht="18" customHeight="1" x14ac:dyDescent="0.25">
      <c r="A123" s="148" t="s">
        <v>53</v>
      </c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6"/>
    </row>
    <row r="124" spans="1:12" s="36" customFormat="1" ht="15" customHeight="1" x14ac:dyDescent="0.25">
      <c r="A124" s="145">
        <v>900</v>
      </c>
      <c r="B124" s="144" t="s">
        <v>478</v>
      </c>
      <c r="C124" s="143">
        <v>3598</v>
      </c>
      <c r="D124" s="142">
        <v>252</v>
      </c>
      <c r="E124" s="142">
        <v>0</v>
      </c>
      <c r="F124" s="142">
        <v>0</v>
      </c>
      <c r="G124" s="37">
        <v>84</v>
      </c>
      <c r="H124" s="142">
        <v>85</v>
      </c>
      <c r="I124" s="142">
        <v>83</v>
      </c>
      <c r="J124" s="142">
        <v>0</v>
      </c>
      <c r="K124" s="141">
        <v>0</v>
      </c>
      <c r="L124" s="140"/>
    </row>
    <row r="125" spans="1:12" s="36" customFormat="1" ht="24" customHeight="1" x14ac:dyDescent="0.25">
      <c r="A125" s="145">
        <v>901</v>
      </c>
      <c r="B125" s="144" t="s">
        <v>392</v>
      </c>
      <c r="C125" s="143">
        <v>3632</v>
      </c>
      <c r="D125" s="142">
        <v>1973</v>
      </c>
      <c r="E125" s="142">
        <v>0</v>
      </c>
      <c r="F125" s="142">
        <v>0</v>
      </c>
      <c r="G125" s="37">
        <v>773</v>
      </c>
      <c r="H125" s="142">
        <v>0</v>
      </c>
      <c r="I125" s="142">
        <v>0</v>
      </c>
      <c r="J125" s="142">
        <v>0</v>
      </c>
      <c r="K125" s="141">
        <v>0</v>
      </c>
      <c r="L125" s="140" t="s">
        <v>477</v>
      </c>
    </row>
    <row r="126" spans="1:12" s="36" customFormat="1" ht="15" customHeight="1" x14ac:dyDescent="0.25">
      <c r="A126" s="145">
        <v>903</v>
      </c>
      <c r="B126" s="144" t="s">
        <v>393</v>
      </c>
      <c r="C126" s="143">
        <v>3633</v>
      </c>
      <c r="D126" s="142">
        <v>6880</v>
      </c>
      <c r="E126" s="142">
        <v>0</v>
      </c>
      <c r="F126" s="142">
        <v>0</v>
      </c>
      <c r="G126" s="37">
        <v>6880</v>
      </c>
      <c r="H126" s="142">
        <v>0</v>
      </c>
      <c r="I126" s="142">
        <v>0</v>
      </c>
      <c r="J126" s="142">
        <v>0</v>
      </c>
      <c r="K126" s="141">
        <v>0</v>
      </c>
      <c r="L126" s="140"/>
    </row>
    <row r="127" spans="1:12" s="36" customFormat="1" ht="15" customHeight="1" x14ac:dyDescent="0.25">
      <c r="A127" s="145">
        <v>905</v>
      </c>
      <c r="B127" s="144" t="s">
        <v>394</v>
      </c>
      <c r="C127" s="143">
        <v>3652</v>
      </c>
      <c r="D127" s="142">
        <v>1980</v>
      </c>
      <c r="E127" s="142">
        <v>0</v>
      </c>
      <c r="F127" s="142">
        <v>0</v>
      </c>
      <c r="G127" s="37">
        <v>1980</v>
      </c>
      <c r="H127" s="142">
        <v>0</v>
      </c>
      <c r="I127" s="142">
        <v>0</v>
      </c>
      <c r="J127" s="142">
        <v>0</v>
      </c>
      <c r="K127" s="141">
        <v>0</v>
      </c>
      <c r="L127" s="140"/>
    </row>
    <row r="128" spans="1:12" s="36" customFormat="1" ht="15" customHeight="1" x14ac:dyDescent="0.25">
      <c r="A128" s="145">
        <v>907</v>
      </c>
      <c r="B128" s="144" t="s">
        <v>395</v>
      </c>
      <c r="C128" s="143">
        <v>3634</v>
      </c>
      <c r="D128" s="142">
        <v>2783.92</v>
      </c>
      <c r="E128" s="142">
        <v>0</v>
      </c>
      <c r="F128" s="142">
        <v>183.92</v>
      </c>
      <c r="G128" s="37">
        <v>2600</v>
      </c>
      <c r="H128" s="142">
        <v>0</v>
      </c>
      <c r="I128" s="142">
        <v>0</v>
      </c>
      <c r="J128" s="142">
        <v>0</v>
      </c>
      <c r="K128" s="141">
        <v>0</v>
      </c>
      <c r="L128" s="140"/>
    </row>
    <row r="129" spans="1:12" s="36" customFormat="1" ht="15" customHeight="1" x14ac:dyDescent="0.25">
      <c r="A129" s="145">
        <v>909</v>
      </c>
      <c r="B129" s="144" t="s">
        <v>396</v>
      </c>
      <c r="C129" s="143">
        <v>3635</v>
      </c>
      <c r="D129" s="142">
        <v>3689</v>
      </c>
      <c r="E129" s="142">
        <v>0</v>
      </c>
      <c r="F129" s="142">
        <v>0</v>
      </c>
      <c r="G129" s="37">
        <v>3689</v>
      </c>
      <c r="H129" s="142">
        <v>0</v>
      </c>
      <c r="I129" s="142">
        <v>0</v>
      </c>
      <c r="J129" s="142">
        <v>0</v>
      </c>
      <c r="K129" s="141">
        <v>0</v>
      </c>
      <c r="L129" s="140"/>
    </row>
    <row r="130" spans="1:12" s="36" customFormat="1" ht="24" customHeight="1" x14ac:dyDescent="0.25">
      <c r="A130" s="145">
        <v>911</v>
      </c>
      <c r="B130" s="144" t="s">
        <v>397</v>
      </c>
      <c r="C130" s="143">
        <v>3637</v>
      </c>
      <c r="D130" s="142">
        <v>773</v>
      </c>
      <c r="E130" s="142">
        <v>0</v>
      </c>
      <c r="F130" s="142">
        <v>0</v>
      </c>
      <c r="G130" s="37">
        <v>773</v>
      </c>
      <c r="H130" s="142">
        <v>0</v>
      </c>
      <c r="I130" s="142">
        <v>0</v>
      </c>
      <c r="J130" s="142">
        <v>0</v>
      </c>
      <c r="K130" s="141">
        <v>0</v>
      </c>
      <c r="L130" s="140"/>
    </row>
    <row r="131" spans="1:12" s="36" customFormat="1" ht="15" customHeight="1" x14ac:dyDescent="0.25">
      <c r="A131" s="145">
        <v>913</v>
      </c>
      <c r="B131" s="144" t="s">
        <v>398</v>
      </c>
      <c r="C131" s="143">
        <v>3638</v>
      </c>
      <c r="D131" s="142">
        <v>11769</v>
      </c>
      <c r="E131" s="142">
        <v>22</v>
      </c>
      <c r="F131" s="142">
        <v>0</v>
      </c>
      <c r="G131" s="37">
        <v>11747</v>
      </c>
      <c r="H131" s="142">
        <v>0</v>
      </c>
      <c r="I131" s="142">
        <v>0</v>
      </c>
      <c r="J131" s="142">
        <v>0</v>
      </c>
      <c r="K131" s="141">
        <v>0</v>
      </c>
      <c r="L131" s="140"/>
    </row>
    <row r="132" spans="1:12" s="36" customFormat="1" ht="15" customHeight="1" x14ac:dyDescent="0.25">
      <c r="A132" s="145">
        <v>915</v>
      </c>
      <c r="B132" s="144" t="s">
        <v>399</v>
      </c>
      <c r="C132" s="143">
        <v>3639</v>
      </c>
      <c r="D132" s="142">
        <v>13521</v>
      </c>
      <c r="E132" s="142">
        <v>0</v>
      </c>
      <c r="F132" s="142">
        <v>0</v>
      </c>
      <c r="G132" s="37">
        <v>13521</v>
      </c>
      <c r="H132" s="142">
        <v>0</v>
      </c>
      <c r="I132" s="142">
        <v>0</v>
      </c>
      <c r="J132" s="142">
        <v>0</v>
      </c>
      <c r="K132" s="141">
        <v>0</v>
      </c>
      <c r="L132" s="140"/>
    </row>
    <row r="133" spans="1:12" s="36" customFormat="1" ht="15" customHeight="1" x14ac:dyDescent="0.25">
      <c r="A133" s="145">
        <v>917</v>
      </c>
      <c r="B133" s="144" t="s">
        <v>401</v>
      </c>
      <c r="C133" s="143">
        <v>3645</v>
      </c>
      <c r="D133" s="142">
        <v>5806.79</v>
      </c>
      <c r="E133" s="142">
        <v>0</v>
      </c>
      <c r="F133" s="142">
        <v>4760.79</v>
      </c>
      <c r="G133" s="37">
        <v>1046</v>
      </c>
      <c r="H133" s="142">
        <v>0</v>
      </c>
      <c r="I133" s="142">
        <v>0</v>
      </c>
      <c r="J133" s="142">
        <v>0</v>
      </c>
      <c r="K133" s="141">
        <v>0</v>
      </c>
      <c r="L133" s="140"/>
    </row>
    <row r="134" spans="1:12" s="36" customFormat="1" ht="15" customHeight="1" x14ac:dyDescent="0.25">
      <c r="A134" s="145">
        <v>919</v>
      </c>
      <c r="B134" s="144" t="s">
        <v>403</v>
      </c>
      <c r="C134" s="143">
        <v>3641</v>
      </c>
      <c r="D134" s="142">
        <v>9560</v>
      </c>
      <c r="E134" s="142">
        <v>0</v>
      </c>
      <c r="F134" s="142">
        <v>0</v>
      </c>
      <c r="G134" s="37">
        <v>9560</v>
      </c>
      <c r="H134" s="142">
        <v>0</v>
      </c>
      <c r="I134" s="142">
        <v>0</v>
      </c>
      <c r="J134" s="142">
        <v>0</v>
      </c>
      <c r="K134" s="141">
        <v>0</v>
      </c>
      <c r="L134" s="140"/>
    </row>
    <row r="135" spans="1:12" s="36" customFormat="1" ht="15" customHeight="1" x14ac:dyDescent="0.25">
      <c r="A135" s="145">
        <v>921</v>
      </c>
      <c r="B135" s="144" t="s">
        <v>404</v>
      </c>
      <c r="C135" s="143">
        <v>3651</v>
      </c>
      <c r="D135" s="142">
        <v>10520.65</v>
      </c>
      <c r="E135" s="142">
        <v>0</v>
      </c>
      <c r="F135" s="142">
        <v>5039.6499999999996</v>
      </c>
      <c r="G135" s="37">
        <v>5481</v>
      </c>
      <c r="H135" s="142">
        <v>0</v>
      </c>
      <c r="I135" s="142">
        <v>0</v>
      </c>
      <c r="J135" s="142">
        <v>0</v>
      </c>
      <c r="K135" s="141">
        <v>0</v>
      </c>
      <c r="L135" s="140"/>
    </row>
    <row r="136" spans="1:12" s="36" customFormat="1" ht="15" customHeight="1" x14ac:dyDescent="0.25">
      <c r="A136" s="145">
        <v>923</v>
      </c>
      <c r="B136" s="144" t="s">
        <v>405</v>
      </c>
      <c r="C136" s="143">
        <v>3654</v>
      </c>
      <c r="D136" s="142">
        <v>15851.9</v>
      </c>
      <c r="E136" s="142">
        <v>0</v>
      </c>
      <c r="F136" s="142">
        <v>1081.9000000000001</v>
      </c>
      <c r="G136" s="37">
        <v>14770</v>
      </c>
      <c r="H136" s="142">
        <v>0</v>
      </c>
      <c r="I136" s="142">
        <v>0</v>
      </c>
      <c r="J136" s="142">
        <v>0</v>
      </c>
      <c r="K136" s="141">
        <v>0</v>
      </c>
      <c r="L136" s="140"/>
    </row>
    <row r="137" spans="1:12" s="36" customFormat="1" ht="15" customHeight="1" x14ac:dyDescent="0.25">
      <c r="A137" s="145">
        <v>925</v>
      </c>
      <c r="B137" s="144" t="s">
        <v>406</v>
      </c>
      <c r="C137" s="143">
        <v>3646</v>
      </c>
      <c r="D137" s="142">
        <v>10862</v>
      </c>
      <c r="E137" s="142">
        <v>0</v>
      </c>
      <c r="F137" s="142">
        <v>222</v>
      </c>
      <c r="G137" s="37">
        <v>10640</v>
      </c>
      <c r="H137" s="142">
        <v>0</v>
      </c>
      <c r="I137" s="142">
        <v>0</v>
      </c>
      <c r="J137" s="142">
        <v>0</v>
      </c>
      <c r="K137" s="141">
        <v>0</v>
      </c>
      <c r="L137" s="140"/>
    </row>
    <row r="138" spans="1:12" s="36" customFormat="1" ht="15" customHeight="1" x14ac:dyDescent="0.25">
      <c r="A138" s="145">
        <v>927</v>
      </c>
      <c r="B138" s="144" t="s">
        <v>407</v>
      </c>
      <c r="C138" s="143">
        <v>3656</v>
      </c>
      <c r="D138" s="142">
        <v>8977.02</v>
      </c>
      <c r="E138" s="142">
        <v>0</v>
      </c>
      <c r="F138" s="142">
        <v>317.02</v>
      </c>
      <c r="G138" s="37">
        <v>8660</v>
      </c>
      <c r="H138" s="142">
        <v>0</v>
      </c>
      <c r="I138" s="142">
        <v>0</v>
      </c>
      <c r="J138" s="142">
        <v>0</v>
      </c>
      <c r="K138" s="141">
        <v>0</v>
      </c>
      <c r="L138" s="140"/>
    </row>
    <row r="139" spans="1:12" s="36" customFormat="1" ht="15" customHeight="1" x14ac:dyDescent="0.25">
      <c r="A139" s="145">
        <v>929</v>
      </c>
      <c r="B139" s="144" t="s">
        <v>408</v>
      </c>
      <c r="C139" s="143">
        <v>3644</v>
      </c>
      <c r="D139" s="142">
        <v>4804</v>
      </c>
      <c r="E139" s="142">
        <v>0</v>
      </c>
      <c r="F139" s="142">
        <v>389</v>
      </c>
      <c r="G139" s="37">
        <v>4415</v>
      </c>
      <c r="H139" s="142">
        <v>0</v>
      </c>
      <c r="I139" s="142">
        <v>0</v>
      </c>
      <c r="J139" s="142">
        <v>0</v>
      </c>
      <c r="K139" s="141">
        <v>0</v>
      </c>
      <c r="L139" s="140"/>
    </row>
    <row r="140" spans="1:12" s="36" customFormat="1" ht="24" customHeight="1" x14ac:dyDescent="0.25">
      <c r="A140" s="145">
        <v>931</v>
      </c>
      <c r="B140" s="144" t="s">
        <v>409</v>
      </c>
      <c r="C140" s="143">
        <v>3673</v>
      </c>
      <c r="D140" s="142">
        <v>4121</v>
      </c>
      <c r="E140" s="142">
        <v>0</v>
      </c>
      <c r="F140" s="142">
        <v>184</v>
      </c>
      <c r="G140" s="37">
        <v>3937</v>
      </c>
      <c r="H140" s="142">
        <v>0</v>
      </c>
      <c r="I140" s="142">
        <v>0</v>
      </c>
      <c r="J140" s="142">
        <v>0</v>
      </c>
      <c r="K140" s="141">
        <v>0</v>
      </c>
      <c r="L140" s="140"/>
    </row>
    <row r="141" spans="1:12" s="36" customFormat="1" ht="15" customHeight="1" x14ac:dyDescent="0.25">
      <c r="A141" s="145">
        <v>933</v>
      </c>
      <c r="B141" s="144" t="s">
        <v>410</v>
      </c>
      <c r="C141" s="143">
        <v>3674</v>
      </c>
      <c r="D141" s="142">
        <v>5100</v>
      </c>
      <c r="E141" s="142">
        <v>0</v>
      </c>
      <c r="F141" s="142">
        <v>500</v>
      </c>
      <c r="G141" s="37">
        <v>4600</v>
      </c>
      <c r="H141" s="142">
        <v>0</v>
      </c>
      <c r="I141" s="142">
        <v>0</v>
      </c>
      <c r="J141" s="142">
        <v>0</v>
      </c>
      <c r="K141" s="141">
        <v>0</v>
      </c>
      <c r="L141" s="140"/>
    </row>
    <row r="142" spans="1:12" s="36" customFormat="1" ht="24" customHeight="1" x14ac:dyDescent="0.25">
      <c r="A142" s="145">
        <v>935</v>
      </c>
      <c r="B142" s="144" t="s">
        <v>411</v>
      </c>
      <c r="C142" s="143">
        <v>3647</v>
      </c>
      <c r="D142" s="142">
        <v>780</v>
      </c>
      <c r="E142" s="142">
        <v>0</v>
      </c>
      <c r="F142" s="142">
        <v>0</v>
      </c>
      <c r="G142" s="37">
        <v>780</v>
      </c>
      <c r="H142" s="142">
        <v>0</v>
      </c>
      <c r="I142" s="142">
        <v>0</v>
      </c>
      <c r="J142" s="142">
        <v>0</v>
      </c>
      <c r="K142" s="141">
        <v>0</v>
      </c>
      <c r="L142" s="140"/>
    </row>
    <row r="143" spans="1:12" s="36" customFormat="1" ht="24" customHeight="1" x14ac:dyDescent="0.25">
      <c r="A143" s="145">
        <v>937</v>
      </c>
      <c r="B143" s="144" t="s">
        <v>412</v>
      </c>
      <c r="C143" s="143">
        <v>3655</v>
      </c>
      <c r="D143" s="142">
        <v>2277</v>
      </c>
      <c r="E143" s="142">
        <v>97</v>
      </c>
      <c r="F143" s="142">
        <v>300</v>
      </c>
      <c r="G143" s="37">
        <v>1880</v>
      </c>
      <c r="H143" s="142">
        <v>0</v>
      </c>
      <c r="I143" s="142">
        <v>0</v>
      </c>
      <c r="J143" s="142">
        <v>0</v>
      </c>
      <c r="K143" s="141">
        <v>0</v>
      </c>
      <c r="L143" s="140"/>
    </row>
    <row r="144" spans="1:12" s="36" customFormat="1" ht="24" customHeight="1" x14ac:dyDescent="0.25">
      <c r="A144" s="145">
        <v>939</v>
      </c>
      <c r="B144" s="144" t="s">
        <v>413</v>
      </c>
      <c r="C144" s="143">
        <v>3648</v>
      </c>
      <c r="D144" s="142">
        <v>2802</v>
      </c>
      <c r="E144" s="142">
        <v>22</v>
      </c>
      <c r="F144" s="142">
        <v>300</v>
      </c>
      <c r="G144" s="37">
        <v>2480</v>
      </c>
      <c r="H144" s="142">
        <v>0</v>
      </c>
      <c r="I144" s="142">
        <v>0</v>
      </c>
      <c r="J144" s="142">
        <v>0</v>
      </c>
      <c r="K144" s="141">
        <v>0</v>
      </c>
      <c r="L144" s="140"/>
    </row>
    <row r="145" spans="1:12" s="36" customFormat="1" ht="24" customHeight="1" x14ac:dyDescent="0.25">
      <c r="A145" s="145">
        <v>941</v>
      </c>
      <c r="B145" s="144" t="s">
        <v>748</v>
      </c>
      <c r="C145" s="143">
        <v>3452</v>
      </c>
      <c r="D145" s="142">
        <v>437325.47</v>
      </c>
      <c r="E145" s="142">
        <v>63959.82</v>
      </c>
      <c r="F145" s="142">
        <v>58908.990000000005</v>
      </c>
      <c r="G145" s="37">
        <v>18000</v>
      </c>
      <c r="H145" s="142">
        <v>18000</v>
      </c>
      <c r="I145" s="142">
        <v>18000</v>
      </c>
      <c r="J145" s="142">
        <v>16000</v>
      </c>
      <c r="K145" s="141">
        <f>16000+9293</f>
        <v>25293</v>
      </c>
      <c r="L145" s="140" t="s">
        <v>49</v>
      </c>
    </row>
    <row r="146" spans="1:12" s="36" customFormat="1" ht="24" customHeight="1" x14ac:dyDescent="0.25">
      <c r="A146" s="145">
        <v>942</v>
      </c>
      <c r="B146" s="144" t="s">
        <v>479</v>
      </c>
      <c r="C146" s="143">
        <v>3599</v>
      </c>
      <c r="D146" s="142">
        <v>8145</v>
      </c>
      <c r="E146" s="142">
        <v>0</v>
      </c>
      <c r="F146" s="142">
        <v>300</v>
      </c>
      <c r="G146" s="37">
        <v>1146</v>
      </c>
      <c r="H146" s="142">
        <v>1131</v>
      </c>
      <c r="I146" s="142">
        <v>1131</v>
      </c>
      <c r="J146" s="142">
        <v>1131</v>
      </c>
      <c r="K146" s="141">
        <f>1131+2175</f>
        <v>3306</v>
      </c>
      <c r="L146" s="140" t="s">
        <v>49</v>
      </c>
    </row>
    <row r="147" spans="1:12" s="36" customFormat="1" ht="24" customHeight="1" x14ac:dyDescent="0.25">
      <c r="A147" s="145">
        <v>944</v>
      </c>
      <c r="B147" s="144" t="s">
        <v>265</v>
      </c>
      <c r="C147" s="143">
        <v>3504</v>
      </c>
      <c r="D147" s="142">
        <v>487837</v>
      </c>
      <c r="E147" s="142">
        <f>D147-F147-G147</f>
        <v>307189</v>
      </c>
      <c r="F147" s="142">
        <v>176622</v>
      </c>
      <c r="G147" s="37">
        <v>4026</v>
      </c>
      <c r="H147" s="142">
        <v>0</v>
      </c>
      <c r="I147" s="142">
        <v>0</v>
      </c>
      <c r="J147" s="142">
        <v>0</v>
      </c>
      <c r="K147" s="141">
        <v>0</v>
      </c>
      <c r="L147" s="140"/>
    </row>
    <row r="148" spans="1:12" s="36" customFormat="1" ht="24" customHeight="1" x14ac:dyDescent="0.25">
      <c r="A148" s="145">
        <v>946</v>
      </c>
      <c r="B148" s="144" t="s">
        <v>314</v>
      </c>
      <c r="C148" s="143">
        <v>3570</v>
      </c>
      <c r="D148" s="142">
        <v>236176</v>
      </c>
      <c r="E148" s="142">
        <v>9772</v>
      </c>
      <c r="F148" s="142">
        <v>167184</v>
      </c>
      <c r="G148" s="37">
        <v>31136</v>
      </c>
      <c r="H148" s="142">
        <v>28084</v>
      </c>
      <c r="I148" s="142">
        <v>0</v>
      </c>
      <c r="J148" s="142">
        <v>0</v>
      </c>
      <c r="K148" s="141">
        <v>0</v>
      </c>
      <c r="L148" s="140"/>
    </row>
    <row r="149" spans="1:12" s="36" customFormat="1" ht="34.5" customHeight="1" x14ac:dyDescent="0.25">
      <c r="A149" s="145">
        <v>948</v>
      </c>
      <c r="B149" s="144" t="s">
        <v>203</v>
      </c>
      <c r="C149" s="143">
        <v>7043</v>
      </c>
      <c r="D149" s="142">
        <f>23497.6006+126502</f>
        <v>149999.60060000001</v>
      </c>
      <c r="E149" s="142">
        <v>2176.4459999999999</v>
      </c>
      <c r="F149" s="142">
        <v>10762.2</v>
      </c>
      <c r="G149" s="37">
        <v>3520</v>
      </c>
      <c r="H149" s="142">
        <v>3519.9</v>
      </c>
      <c r="I149" s="142">
        <v>3519.9</v>
      </c>
      <c r="J149" s="142">
        <v>0</v>
      </c>
      <c r="K149" s="141">
        <v>0</v>
      </c>
      <c r="L149" s="140" t="s">
        <v>181</v>
      </c>
    </row>
    <row r="150" spans="1:12" s="36" customFormat="1" ht="16.5" customHeight="1" thickBot="1" x14ac:dyDescent="0.3">
      <c r="A150" s="452" t="s">
        <v>54</v>
      </c>
      <c r="B150" s="453" t="s">
        <v>480</v>
      </c>
      <c r="C150" s="181">
        <f>COUNT(C125:C149)</f>
        <v>25</v>
      </c>
      <c r="D150" s="38">
        <f>SUM(D124:D149)</f>
        <v>1444566.3506</v>
      </c>
      <c r="E150" s="38">
        <f t="shared" ref="E150:K150" si="10">SUM(E124:E149)</f>
        <v>383238.266</v>
      </c>
      <c r="F150" s="38">
        <f t="shared" si="10"/>
        <v>427055.47000000003</v>
      </c>
      <c r="G150" s="38">
        <f t="shared" si="10"/>
        <v>168124</v>
      </c>
      <c r="H150" s="38">
        <f t="shared" si="10"/>
        <v>50819.9</v>
      </c>
      <c r="I150" s="38">
        <f t="shared" si="10"/>
        <v>22733.9</v>
      </c>
      <c r="J150" s="38">
        <f t="shared" si="10"/>
        <v>17131</v>
      </c>
      <c r="K150" s="38">
        <f t="shared" si="10"/>
        <v>28599</v>
      </c>
      <c r="L150" s="39"/>
    </row>
    <row r="151" spans="1:12" s="36" customFormat="1" ht="9" customHeight="1" thickBot="1" x14ac:dyDescent="0.3">
      <c r="A151" s="204"/>
      <c r="B151" s="205"/>
      <c r="C151" s="205"/>
      <c r="D151" s="206"/>
      <c r="E151" s="206"/>
      <c r="F151" s="206"/>
      <c r="G151" s="206"/>
      <c r="H151" s="205"/>
      <c r="I151" s="205"/>
      <c r="J151" s="205"/>
      <c r="K151" s="205"/>
      <c r="L151" s="207"/>
    </row>
    <row r="152" spans="1:12" s="36" customFormat="1" ht="18" customHeight="1" thickBot="1" x14ac:dyDescent="0.3">
      <c r="A152" s="450" t="s">
        <v>32</v>
      </c>
      <c r="B152" s="451" t="s">
        <v>481</v>
      </c>
      <c r="C152" s="168">
        <f>C118+C150+C122+C115+C79+C46+C51+C38+C25+C22</f>
        <v>111</v>
      </c>
      <c r="D152" s="40">
        <f t="shared" ref="D152:K152" si="11">D118+D150+D122+D115+D79+D46+D51+D38+D25+D22+D17</f>
        <v>12233107.810600001</v>
      </c>
      <c r="E152" s="40">
        <f t="shared" si="11"/>
        <v>775124.36600000015</v>
      </c>
      <c r="F152" s="40">
        <f t="shared" si="11"/>
        <v>1800093.51</v>
      </c>
      <c r="G152" s="40">
        <f t="shared" si="11"/>
        <v>4046977</v>
      </c>
      <c r="H152" s="40">
        <f t="shared" si="11"/>
        <v>3040377.9</v>
      </c>
      <c r="I152" s="40">
        <f t="shared" si="11"/>
        <v>1547691.9</v>
      </c>
      <c r="J152" s="40">
        <f t="shared" si="11"/>
        <v>509423</v>
      </c>
      <c r="K152" s="40">
        <f t="shared" si="11"/>
        <v>28599</v>
      </c>
      <c r="L152" s="41"/>
    </row>
    <row r="153" spans="1:12" ht="15" customHeight="1" x14ac:dyDescent="0.25">
      <c r="G153" s="289"/>
    </row>
    <row r="154" spans="1:12" x14ac:dyDescent="0.25">
      <c r="C154" s="290"/>
      <c r="F154" s="291"/>
      <c r="G154" s="291"/>
      <c r="H154" s="291"/>
      <c r="I154" s="291"/>
    </row>
    <row r="155" spans="1:12" x14ac:dyDescent="0.25">
      <c r="C155" s="290"/>
      <c r="F155" s="291"/>
      <c r="G155" s="291"/>
      <c r="H155" s="291"/>
      <c r="I155" s="291"/>
    </row>
    <row r="156" spans="1:12" x14ac:dyDescent="0.25">
      <c r="C156" s="290"/>
      <c r="F156" s="291"/>
      <c r="G156" s="291"/>
      <c r="H156" s="291"/>
      <c r="I156" s="291"/>
    </row>
    <row r="157" spans="1:12" x14ac:dyDescent="0.25">
      <c r="C157" s="290"/>
      <c r="F157" s="291"/>
      <c r="G157" s="291"/>
      <c r="H157" s="291"/>
      <c r="I157" s="291"/>
    </row>
    <row r="158" spans="1:12" x14ac:dyDescent="0.25">
      <c r="C158" s="290"/>
      <c r="F158" s="291"/>
      <c r="G158" s="291"/>
      <c r="H158" s="291"/>
      <c r="I158" s="291"/>
    </row>
    <row r="159" spans="1:12" x14ac:dyDescent="0.25">
      <c r="C159" s="290"/>
      <c r="F159" s="291"/>
      <c r="G159" s="291"/>
      <c r="H159" s="291"/>
      <c r="I159" s="291"/>
    </row>
    <row r="160" spans="1:12" x14ac:dyDescent="0.25">
      <c r="C160" s="290"/>
      <c r="F160" s="291"/>
      <c r="G160" s="291"/>
      <c r="H160" s="291"/>
      <c r="I160" s="291"/>
    </row>
    <row r="161" spans="3:9" x14ac:dyDescent="0.25">
      <c r="C161" s="290"/>
      <c r="F161" s="291"/>
      <c r="G161" s="291"/>
      <c r="H161" s="291"/>
      <c r="I161" s="291"/>
    </row>
    <row r="162" spans="3:9" x14ac:dyDescent="0.25">
      <c r="C162" s="290"/>
      <c r="F162" s="291"/>
      <c r="G162" s="291"/>
      <c r="H162" s="291"/>
      <c r="I162" s="291"/>
    </row>
    <row r="163" spans="3:9" x14ac:dyDescent="0.25">
      <c r="C163" s="290"/>
      <c r="F163" s="291"/>
      <c r="G163" s="291"/>
      <c r="H163" s="291"/>
      <c r="I163" s="291"/>
    </row>
    <row r="164" spans="3:9" x14ac:dyDescent="0.25">
      <c r="C164" s="290"/>
      <c r="F164" s="291"/>
      <c r="G164" s="291"/>
      <c r="H164" s="291"/>
      <c r="I164" s="291"/>
    </row>
    <row r="165" spans="3:9" x14ac:dyDescent="0.25">
      <c r="C165" s="290"/>
      <c r="F165" s="291"/>
      <c r="G165" s="291"/>
      <c r="H165" s="291"/>
      <c r="I165" s="291"/>
    </row>
    <row r="166" spans="3:9" x14ac:dyDescent="0.25">
      <c r="C166" s="290"/>
      <c r="F166" s="291"/>
      <c r="G166" s="291"/>
      <c r="H166" s="291"/>
      <c r="I166" s="291"/>
    </row>
    <row r="167" spans="3:9" x14ac:dyDescent="0.25">
      <c r="C167" s="290"/>
      <c r="F167" s="291"/>
      <c r="G167" s="291"/>
      <c r="H167" s="291"/>
      <c r="I167" s="291"/>
    </row>
    <row r="168" spans="3:9" x14ac:dyDescent="0.25">
      <c r="C168" s="290"/>
      <c r="F168" s="291"/>
      <c r="G168" s="291"/>
      <c r="H168" s="291"/>
      <c r="I168" s="291"/>
    </row>
    <row r="169" spans="3:9" x14ac:dyDescent="0.25">
      <c r="C169" s="290"/>
      <c r="F169" s="291"/>
      <c r="G169" s="291"/>
      <c r="H169" s="291"/>
      <c r="I169" s="291"/>
    </row>
    <row r="170" spans="3:9" x14ac:dyDescent="0.25">
      <c r="C170" s="290"/>
      <c r="F170" s="291"/>
      <c r="G170" s="291"/>
      <c r="H170" s="291"/>
      <c r="I170" s="291"/>
    </row>
    <row r="171" spans="3:9" x14ac:dyDescent="0.25">
      <c r="C171" s="290"/>
      <c r="F171" s="291"/>
      <c r="G171" s="291"/>
      <c r="H171" s="291"/>
      <c r="I171" s="291"/>
    </row>
    <row r="172" spans="3:9" x14ac:dyDescent="0.25">
      <c r="C172" s="290"/>
      <c r="F172" s="291"/>
      <c r="G172" s="291"/>
      <c r="H172" s="291"/>
      <c r="I172" s="291"/>
    </row>
    <row r="173" spans="3:9" x14ac:dyDescent="0.25">
      <c r="C173" s="290"/>
      <c r="F173" s="291"/>
      <c r="G173" s="291"/>
      <c r="H173" s="291"/>
      <c r="I173" s="291"/>
    </row>
    <row r="174" spans="3:9" x14ac:dyDescent="0.25">
      <c r="C174" s="290"/>
      <c r="F174" s="291"/>
      <c r="G174" s="291"/>
      <c r="H174" s="291"/>
      <c r="I174" s="291"/>
    </row>
    <row r="175" spans="3:9" x14ac:dyDescent="0.25">
      <c r="C175" s="290"/>
      <c r="F175" s="291"/>
      <c r="G175" s="291"/>
      <c r="H175" s="291"/>
      <c r="I175" s="291"/>
    </row>
    <row r="176" spans="3:9" x14ac:dyDescent="0.25">
      <c r="C176" s="290"/>
      <c r="F176" s="291"/>
      <c r="G176" s="291"/>
      <c r="H176" s="291"/>
      <c r="I176" s="291"/>
    </row>
    <row r="177" spans="3:9" x14ac:dyDescent="0.25">
      <c r="C177" s="290"/>
      <c r="F177" s="291"/>
      <c r="G177" s="291"/>
      <c r="H177" s="291"/>
      <c r="I177" s="291"/>
    </row>
    <row r="178" spans="3:9" x14ac:dyDescent="0.25">
      <c r="C178" s="290"/>
      <c r="F178" s="291"/>
      <c r="G178" s="291"/>
      <c r="H178" s="291"/>
      <c r="I178" s="291"/>
    </row>
    <row r="179" spans="3:9" x14ac:dyDescent="0.25">
      <c r="C179" s="290"/>
      <c r="F179" s="291"/>
      <c r="G179" s="291"/>
      <c r="H179" s="291"/>
      <c r="I179" s="291"/>
    </row>
    <row r="180" spans="3:9" x14ac:dyDescent="0.25">
      <c r="C180" s="290"/>
      <c r="F180" s="291"/>
      <c r="G180" s="291"/>
      <c r="H180" s="291"/>
      <c r="I180" s="291"/>
    </row>
    <row r="181" spans="3:9" x14ac:dyDescent="0.25">
      <c r="C181" s="290"/>
      <c r="F181" s="291"/>
      <c r="G181" s="291"/>
      <c r="H181" s="291"/>
      <c r="I181" s="291"/>
    </row>
    <row r="182" spans="3:9" x14ac:dyDescent="0.25">
      <c r="C182" s="290"/>
      <c r="F182" s="291"/>
      <c r="G182" s="291"/>
      <c r="H182" s="291"/>
      <c r="I182" s="291"/>
    </row>
    <row r="183" spans="3:9" x14ac:dyDescent="0.25">
      <c r="C183" s="290"/>
      <c r="F183" s="291"/>
      <c r="G183" s="291"/>
      <c r="H183" s="291"/>
      <c r="I183" s="291"/>
    </row>
    <row r="184" spans="3:9" x14ac:dyDescent="0.25">
      <c r="C184" s="290"/>
      <c r="F184" s="291"/>
      <c r="G184" s="291"/>
      <c r="H184" s="291"/>
      <c r="I184" s="291"/>
    </row>
    <row r="185" spans="3:9" x14ac:dyDescent="0.25">
      <c r="C185" s="290"/>
      <c r="F185" s="291"/>
      <c r="G185" s="291"/>
      <c r="H185" s="291"/>
      <c r="I185" s="291"/>
    </row>
    <row r="186" spans="3:9" x14ac:dyDescent="0.25">
      <c r="C186" s="290"/>
      <c r="F186" s="291"/>
      <c r="G186" s="291"/>
      <c r="H186" s="291"/>
      <c r="I186" s="291"/>
    </row>
    <row r="187" spans="3:9" x14ac:dyDescent="0.25">
      <c r="C187" s="290"/>
      <c r="F187" s="291"/>
      <c r="G187" s="291"/>
      <c r="H187" s="291"/>
      <c r="I187" s="291"/>
    </row>
    <row r="188" spans="3:9" x14ac:dyDescent="0.25">
      <c r="C188" s="290"/>
      <c r="F188" s="291"/>
      <c r="G188" s="291"/>
      <c r="H188" s="291"/>
      <c r="I188" s="291"/>
    </row>
    <row r="189" spans="3:9" x14ac:dyDescent="0.25">
      <c r="C189" s="290"/>
      <c r="F189" s="291"/>
      <c r="G189" s="291"/>
      <c r="H189" s="291"/>
      <c r="I189" s="291"/>
    </row>
    <row r="190" spans="3:9" x14ac:dyDescent="0.25">
      <c r="C190" s="290"/>
      <c r="F190" s="291"/>
      <c r="G190" s="291"/>
      <c r="H190" s="291"/>
      <c r="I190" s="291"/>
    </row>
    <row r="191" spans="3:9" x14ac:dyDescent="0.25">
      <c r="C191" s="290"/>
      <c r="F191" s="291"/>
      <c r="G191" s="291"/>
      <c r="H191" s="291"/>
      <c r="I191" s="291"/>
    </row>
    <row r="192" spans="3:9" x14ac:dyDescent="0.25">
      <c r="C192" s="290"/>
      <c r="F192" s="291"/>
      <c r="G192" s="291"/>
      <c r="H192" s="291"/>
      <c r="I192" s="291"/>
    </row>
    <row r="193" spans="3:9" x14ac:dyDescent="0.25">
      <c r="C193" s="290"/>
      <c r="F193" s="291"/>
      <c r="G193" s="291"/>
      <c r="H193" s="291"/>
      <c r="I193" s="291"/>
    </row>
    <row r="194" spans="3:9" x14ac:dyDescent="0.25">
      <c r="C194" s="290"/>
      <c r="F194" s="291"/>
      <c r="G194" s="291"/>
      <c r="H194" s="291"/>
      <c r="I194" s="291"/>
    </row>
    <row r="195" spans="3:9" x14ac:dyDescent="0.25">
      <c r="C195" s="290"/>
      <c r="F195" s="291"/>
      <c r="G195" s="291"/>
      <c r="H195" s="291"/>
      <c r="I195" s="291"/>
    </row>
    <row r="196" spans="3:9" x14ac:dyDescent="0.25">
      <c r="C196" s="290"/>
      <c r="F196" s="291"/>
      <c r="G196" s="291"/>
      <c r="H196" s="291"/>
      <c r="I196" s="291"/>
    </row>
    <row r="197" spans="3:9" x14ac:dyDescent="0.25">
      <c r="C197" s="290"/>
      <c r="F197" s="291"/>
      <c r="G197" s="291"/>
      <c r="H197" s="291"/>
      <c r="I197" s="291"/>
    </row>
    <row r="198" spans="3:9" x14ac:dyDescent="0.25">
      <c r="C198" s="290"/>
      <c r="F198" s="291"/>
      <c r="G198" s="291"/>
      <c r="H198" s="291"/>
      <c r="I198" s="291"/>
    </row>
    <row r="199" spans="3:9" x14ac:dyDescent="0.25">
      <c r="C199" s="290"/>
      <c r="F199" s="291"/>
      <c r="G199" s="291"/>
      <c r="H199" s="291"/>
      <c r="I199" s="291"/>
    </row>
    <row r="200" spans="3:9" x14ac:dyDescent="0.25">
      <c r="C200" s="290"/>
      <c r="F200" s="291"/>
      <c r="G200" s="291"/>
      <c r="H200" s="291"/>
      <c r="I200" s="291"/>
    </row>
    <row r="201" spans="3:9" x14ac:dyDescent="0.25">
      <c r="C201" s="290"/>
      <c r="F201" s="291"/>
      <c r="G201" s="291"/>
      <c r="H201" s="291"/>
      <c r="I201" s="291"/>
    </row>
    <row r="202" spans="3:9" x14ac:dyDescent="0.25">
      <c r="C202" s="290"/>
      <c r="F202" s="291"/>
      <c r="G202" s="291"/>
      <c r="H202" s="291"/>
      <c r="I202" s="291"/>
    </row>
  </sheetData>
  <mergeCells count="22">
    <mergeCell ref="A152:B152"/>
    <mergeCell ref="A17:B17"/>
    <mergeCell ref="A22:B22"/>
    <mergeCell ref="A25:B25"/>
    <mergeCell ref="A38:B38"/>
    <mergeCell ref="A51:B51"/>
    <mergeCell ref="A46:B46"/>
    <mergeCell ref="A79:B79"/>
    <mergeCell ref="A115:B115"/>
    <mergeCell ref="A122:B122"/>
    <mergeCell ref="A150:B150"/>
    <mergeCell ref="A118:B118"/>
    <mergeCell ref="A1:L1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39370078740157483" right="0.39370078740157483" top="0.78740157480314965" bottom="0.39370078740157483" header="0.31496062992125984" footer="0.11811023622047245"/>
  <pageSetup paperSize="9" scale="82" firstPageNumber="16" fitToHeight="0" orientation="landscape" useFirstPageNumber="1" r:id="rId1"/>
  <headerFooter>
    <oddHeader>&amp;L&amp;"Tahoma,Kurzíva"&amp;10Návrh rozpočtu na rok 2025
Příloha č. 9&amp;R&amp;"Tahoma,Kurzíva"&amp;10Přehled akcí spolufinancovaných z evropských finančních zdrojů v návrhu rozpočtu kraje na rok 2025</oddHeader>
    <oddFooter>&amp;C&amp;"Tahoma,Obyčejné"&amp;10&amp;P</oddFooter>
  </headerFooter>
  <rowBreaks count="5" manualBreakCount="5">
    <brk id="31" max="16383" man="1"/>
    <brk id="60" max="16383" man="1"/>
    <brk id="90" max="16383" man="1"/>
    <brk id="118" max="16383" man="1"/>
    <brk id="147" max="16383" man="1"/>
  </rowBreaks>
  <ignoredErrors>
    <ignoredError sqref="H4:J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FD17-45B8-4382-8B02-B989BD0908C5}">
  <sheetPr>
    <pageSetUpPr fitToPage="1"/>
  </sheetPr>
  <dimension ref="A1:M85"/>
  <sheetViews>
    <sheetView zoomScaleNormal="100" zoomScaleSheetLayoutView="100" workbookViewId="0">
      <pane xSplit="3" ySplit="4" topLeftCell="D5" activePane="bottomRight" state="frozen"/>
      <selection activeCell="J7" sqref="J7"/>
      <selection pane="topRight" activeCell="J7" sqref="J7"/>
      <selection pane="bottomLeft" activeCell="J7" sqref="J7"/>
      <selection pane="bottomRight" activeCell="K3" sqref="K3"/>
    </sheetView>
  </sheetViews>
  <sheetFormatPr defaultColWidth="9.28515625" defaultRowHeight="12.75" x14ac:dyDescent="0.2"/>
  <cols>
    <col min="1" max="1" width="55.7109375" style="42" customWidth="1"/>
    <col min="2" max="2" width="4.7109375" style="197" hidden="1" customWidth="1"/>
    <col min="3" max="3" width="3.7109375" style="198" hidden="1" customWidth="1"/>
    <col min="4" max="10" width="12.7109375" style="149" customWidth="1"/>
    <col min="11" max="11" width="18.7109375" style="42" customWidth="1"/>
    <col min="12" max="16384" width="9.28515625" style="42"/>
  </cols>
  <sheetData>
    <row r="1" spans="1:12" s="150" customFormat="1" ht="23.25" customHeight="1" x14ac:dyDescent="0.25">
      <c r="A1" s="454" t="s">
        <v>487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2" ht="13.5" thickBot="1" x14ac:dyDescent="0.25">
      <c r="A2" s="293"/>
      <c r="B2" s="294"/>
      <c r="C2" s="295"/>
      <c r="D2" s="293"/>
      <c r="E2" s="293"/>
      <c r="F2" s="293"/>
      <c r="G2" s="293"/>
      <c r="H2" s="293"/>
      <c r="I2" s="293"/>
      <c r="J2" s="296" t="s">
        <v>31</v>
      </c>
    </row>
    <row r="3" spans="1:12" ht="29.25" customHeight="1" x14ac:dyDescent="0.2">
      <c r="A3" s="455" t="s">
        <v>34</v>
      </c>
      <c r="B3" s="457" t="s">
        <v>270</v>
      </c>
      <c r="C3" s="459" t="s">
        <v>271</v>
      </c>
      <c r="D3" s="461" t="s">
        <v>488</v>
      </c>
      <c r="E3" s="461" t="s">
        <v>731</v>
      </c>
      <c r="F3" s="461" t="s">
        <v>55</v>
      </c>
      <c r="G3" s="463" t="s">
        <v>56</v>
      </c>
      <c r="H3" s="464"/>
      <c r="I3" s="465" t="s">
        <v>732</v>
      </c>
      <c r="J3" s="466"/>
    </row>
    <row r="4" spans="1:12" ht="48.75" customHeight="1" thickBot="1" x14ac:dyDescent="0.25">
      <c r="A4" s="456"/>
      <c r="B4" s="458"/>
      <c r="C4" s="460"/>
      <c r="D4" s="415"/>
      <c r="E4" s="462"/>
      <c r="F4" s="462"/>
      <c r="G4" s="297" t="s">
        <v>94</v>
      </c>
      <c r="H4" s="298" t="s">
        <v>489</v>
      </c>
      <c r="I4" s="299" t="s">
        <v>94</v>
      </c>
      <c r="J4" s="300" t="s">
        <v>490</v>
      </c>
    </row>
    <row r="5" spans="1:12" s="161" customFormat="1" ht="21" customHeight="1" x14ac:dyDescent="0.25">
      <c r="A5" s="470" t="s">
        <v>57</v>
      </c>
      <c r="B5" s="471"/>
      <c r="C5" s="471"/>
      <c r="D5" s="471"/>
      <c r="E5" s="471"/>
      <c r="F5" s="471"/>
      <c r="G5" s="471"/>
      <c r="H5" s="471"/>
      <c r="I5" s="471"/>
      <c r="J5" s="472"/>
      <c r="K5" s="319"/>
      <c r="L5" s="319"/>
    </row>
    <row r="6" spans="1:12" s="159" customFormat="1" ht="18" customHeight="1" x14ac:dyDescent="0.25">
      <c r="A6" s="301" t="s">
        <v>183</v>
      </c>
      <c r="B6" s="320"/>
      <c r="C6" s="321"/>
      <c r="D6" s="322"/>
      <c r="E6" s="322"/>
      <c r="F6" s="322"/>
      <c r="G6" s="322"/>
      <c r="H6" s="322"/>
      <c r="I6" s="322"/>
      <c r="J6" s="231"/>
      <c r="K6" s="161"/>
    </row>
    <row r="7" spans="1:12" s="160" customFormat="1" ht="15" customHeight="1" x14ac:dyDescent="0.25">
      <c r="A7" s="302" t="s">
        <v>285</v>
      </c>
      <c r="B7" s="230">
        <v>3527</v>
      </c>
      <c r="C7" s="303">
        <v>14</v>
      </c>
      <c r="D7" s="130">
        <v>78000</v>
      </c>
      <c r="E7" s="130">
        <f t="shared" ref="E7:E12" si="0">F7+G7</f>
        <v>0</v>
      </c>
      <c r="F7" s="130">
        <v>0</v>
      </c>
      <c r="G7" s="130">
        <v>0</v>
      </c>
      <c r="H7" s="43">
        <v>0</v>
      </c>
      <c r="I7" s="130">
        <v>16546</v>
      </c>
      <c r="J7" s="162">
        <v>13223</v>
      </c>
    </row>
    <row r="8" spans="1:12" s="160" customFormat="1" ht="15" customHeight="1" x14ac:dyDescent="0.25">
      <c r="A8" s="302" t="s">
        <v>283</v>
      </c>
      <c r="B8" s="230">
        <v>3528</v>
      </c>
      <c r="C8" s="303">
        <v>14</v>
      </c>
      <c r="D8" s="130">
        <v>59000</v>
      </c>
      <c r="E8" s="130">
        <f t="shared" si="0"/>
        <v>0</v>
      </c>
      <c r="F8" s="130">
        <v>0</v>
      </c>
      <c r="G8" s="130">
        <v>0</v>
      </c>
      <c r="H8" s="43">
        <v>0</v>
      </c>
      <c r="I8" s="130">
        <v>28095</v>
      </c>
      <c r="J8" s="162">
        <v>16853</v>
      </c>
    </row>
    <row r="9" spans="1:12" s="160" customFormat="1" ht="15" customHeight="1" x14ac:dyDescent="0.25">
      <c r="A9" s="302" t="s">
        <v>243</v>
      </c>
      <c r="B9" s="230">
        <v>3531</v>
      </c>
      <c r="C9" s="303">
        <v>14</v>
      </c>
      <c r="D9" s="130">
        <v>33000</v>
      </c>
      <c r="E9" s="130">
        <f>F9+G9</f>
        <v>23000</v>
      </c>
      <c r="F9" s="130">
        <v>4215</v>
      </c>
      <c r="G9" s="130">
        <v>18785</v>
      </c>
      <c r="H9" s="43">
        <v>18000</v>
      </c>
      <c r="I9" s="130">
        <v>0</v>
      </c>
      <c r="J9" s="162">
        <v>0</v>
      </c>
    </row>
    <row r="10" spans="1:12" s="160" customFormat="1" ht="15" customHeight="1" x14ac:dyDescent="0.25">
      <c r="A10" s="302" t="s">
        <v>245</v>
      </c>
      <c r="B10" s="230">
        <v>3536</v>
      </c>
      <c r="C10" s="303">
        <v>14</v>
      </c>
      <c r="D10" s="130">
        <v>12000</v>
      </c>
      <c r="E10" s="130">
        <f>F10+G10</f>
        <v>0</v>
      </c>
      <c r="F10" s="130">
        <v>0</v>
      </c>
      <c r="G10" s="130">
        <v>0</v>
      </c>
      <c r="H10" s="43">
        <v>0</v>
      </c>
      <c r="I10" s="130">
        <v>8500</v>
      </c>
      <c r="J10" s="162">
        <v>8000</v>
      </c>
    </row>
    <row r="11" spans="1:12" s="160" customFormat="1" ht="15" customHeight="1" x14ac:dyDescent="0.25">
      <c r="A11" s="302" t="s">
        <v>244</v>
      </c>
      <c r="B11" s="230">
        <v>3537</v>
      </c>
      <c r="C11" s="303">
        <v>14</v>
      </c>
      <c r="D11" s="130">
        <v>41000</v>
      </c>
      <c r="E11" s="130">
        <f t="shared" si="0"/>
        <v>0</v>
      </c>
      <c r="F11" s="130">
        <v>0</v>
      </c>
      <c r="G11" s="130">
        <v>0</v>
      </c>
      <c r="H11" s="43">
        <v>0</v>
      </c>
      <c r="I11" s="130">
        <v>22950</v>
      </c>
      <c r="J11" s="162">
        <v>22500</v>
      </c>
    </row>
    <row r="12" spans="1:12" s="160" customFormat="1" ht="15" customHeight="1" x14ac:dyDescent="0.25">
      <c r="A12" s="302" t="s">
        <v>288</v>
      </c>
      <c r="B12" s="230">
        <v>3538</v>
      </c>
      <c r="C12" s="303">
        <v>14</v>
      </c>
      <c r="D12" s="130">
        <v>44000</v>
      </c>
      <c r="E12" s="130">
        <f t="shared" si="0"/>
        <v>0</v>
      </c>
      <c r="F12" s="130">
        <v>0</v>
      </c>
      <c r="G12" s="130">
        <v>0</v>
      </c>
      <c r="H12" s="43">
        <v>0</v>
      </c>
      <c r="I12" s="130">
        <v>28050</v>
      </c>
      <c r="J12" s="162">
        <v>27550</v>
      </c>
    </row>
    <row r="13" spans="1:12" s="160" customFormat="1" ht="24" customHeight="1" x14ac:dyDescent="0.25">
      <c r="A13" s="302" t="s">
        <v>491</v>
      </c>
      <c r="B13" s="230" t="s">
        <v>492</v>
      </c>
      <c r="C13" s="303">
        <v>14</v>
      </c>
      <c r="D13" s="130">
        <v>60500</v>
      </c>
      <c r="E13" s="130">
        <f>F13+G13</f>
        <v>42250</v>
      </c>
      <c r="F13" s="130">
        <v>8250</v>
      </c>
      <c r="G13" s="130">
        <v>34000</v>
      </c>
      <c r="H13" s="43">
        <v>33500</v>
      </c>
      <c r="I13" s="130">
        <v>0</v>
      </c>
      <c r="J13" s="162">
        <v>0</v>
      </c>
    </row>
    <row r="14" spans="1:12" s="160" customFormat="1" ht="15" customHeight="1" x14ac:dyDescent="0.25">
      <c r="A14" s="302" t="s">
        <v>425</v>
      </c>
      <c r="B14" s="230" t="s">
        <v>493</v>
      </c>
      <c r="C14" s="303">
        <v>14</v>
      </c>
      <c r="D14" s="130">
        <v>305000</v>
      </c>
      <c r="E14" s="130">
        <f>F14+G14</f>
        <v>84000</v>
      </c>
      <c r="F14" s="130">
        <v>22800</v>
      </c>
      <c r="G14" s="130">
        <v>61200</v>
      </c>
      <c r="H14" s="43">
        <v>60000</v>
      </c>
      <c r="I14" s="130">
        <v>0</v>
      </c>
      <c r="J14" s="162">
        <v>0</v>
      </c>
      <c r="L14" s="304"/>
    </row>
    <row r="15" spans="1:12" s="160" customFormat="1" ht="15" customHeight="1" x14ac:dyDescent="0.25">
      <c r="A15" s="302" t="s">
        <v>426</v>
      </c>
      <c r="B15" s="230" t="s">
        <v>494</v>
      </c>
      <c r="C15" s="303">
        <v>14</v>
      </c>
      <c r="D15" s="130">
        <v>30500</v>
      </c>
      <c r="E15" s="130">
        <f t="shared" ref="E15:E17" si="1">F15+G15</f>
        <v>21250</v>
      </c>
      <c r="F15" s="130">
        <v>4250</v>
      </c>
      <c r="G15" s="130">
        <v>17000</v>
      </c>
      <c r="H15" s="43">
        <v>16500</v>
      </c>
      <c r="I15" s="130">
        <v>0</v>
      </c>
      <c r="J15" s="162">
        <v>0</v>
      </c>
    </row>
    <row r="16" spans="1:12" s="160" customFormat="1" ht="15" customHeight="1" x14ac:dyDescent="0.25">
      <c r="A16" s="302" t="s">
        <v>495</v>
      </c>
      <c r="B16" s="230" t="s">
        <v>496</v>
      </c>
      <c r="C16" s="303">
        <v>14</v>
      </c>
      <c r="D16" s="130">
        <v>217800</v>
      </c>
      <c r="E16" s="130">
        <f t="shared" si="1"/>
        <v>152500</v>
      </c>
      <c r="F16" s="130">
        <v>26275</v>
      </c>
      <c r="G16" s="130">
        <v>126225</v>
      </c>
      <c r="H16" s="43">
        <v>125000</v>
      </c>
      <c r="I16" s="130">
        <v>0</v>
      </c>
      <c r="J16" s="162">
        <v>0</v>
      </c>
    </row>
    <row r="17" spans="1:11" s="160" customFormat="1" ht="15" customHeight="1" x14ac:dyDescent="0.25">
      <c r="A17" s="302" t="s">
        <v>287</v>
      </c>
      <c r="B17" s="230" t="s">
        <v>497</v>
      </c>
      <c r="C17" s="303">
        <v>14</v>
      </c>
      <c r="D17" s="130">
        <v>48400</v>
      </c>
      <c r="E17" s="130">
        <f t="shared" si="1"/>
        <v>34000</v>
      </c>
      <c r="F17" s="130">
        <v>6545</v>
      </c>
      <c r="G17" s="130">
        <v>27455</v>
      </c>
      <c r="H17" s="43">
        <v>26600</v>
      </c>
      <c r="I17" s="130">
        <v>0</v>
      </c>
      <c r="J17" s="162">
        <v>0</v>
      </c>
    </row>
    <row r="18" spans="1:11" s="161" customFormat="1" ht="15.75" customHeight="1" x14ac:dyDescent="0.25">
      <c r="A18" s="473" t="s">
        <v>182</v>
      </c>
      <c r="B18" s="474"/>
      <c r="C18" s="474"/>
      <c r="D18" s="474" t="s">
        <v>237</v>
      </c>
      <c r="E18" s="239">
        <f t="shared" ref="E18:J18" si="2">SUM(E7:E17)</f>
        <v>357000</v>
      </c>
      <c r="F18" s="239">
        <f t="shared" si="2"/>
        <v>72335</v>
      </c>
      <c r="G18" s="239">
        <f t="shared" si="2"/>
        <v>284665</v>
      </c>
      <c r="H18" s="239">
        <f t="shared" si="2"/>
        <v>279600</v>
      </c>
      <c r="I18" s="239">
        <f t="shared" si="2"/>
        <v>104141</v>
      </c>
      <c r="J18" s="240">
        <f t="shared" si="2"/>
        <v>88126</v>
      </c>
    </row>
    <row r="19" spans="1:11" s="161" customFormat="1" ht="18" customHeight="1" x14ac:dyDescent="0.25">
      <c r="A19" s="305" t="s">
        <v>430</v>
      </c>
      <c r="B19" s="306"/>
      <c r="C19" s="306"/>
      <c r="D19" s="234"/>
      <c r="E19" s="234"/>
      <c r="F19" s="322"/>
      <c r="G19" s="322"/>
      <c r="H19" s="322"/>
      <c r="I19" s="234"/>
      <c r="J19" s="231"/>
    </row>
    <row r="20" spans="1:11" s="161" customFormat="1" ht="15" customHeight="1" x14ac:dyDescent="0.25">
      <c r="A20" s="302" t="s">
        <v>241</v>
      </c>
      <c r="B20" s="230">
        <v>3526</v>
      </c>
      <c r="C20" s="303">
        <v>14</v>
      </c>
      <c r="D20" s="130">
        <v>9990</v>
      </c>
      <c r="E20" s="130">
        <f>F20+G20</f>
        <v>33990</v>
      </c>
      <c r="F20" s="130">
        <v>5899</v>
      </c>
      <c r="G20" s="130">
        <v>28091</v>
      </c>
      <c r="H20" s="43">
        <v>27000</v>
      </c>
      <c r="I20" s="130">
        <v>0</v>
      </c>
      <c r="J20" s="162">
        <v>0</v>
      </c>
    </row>
    <row r="21" spans="1:11" s="161" customFormat="1" ht="15" customHeight="1" x14ac:dyDescent="0.25">
      <c r="A21" s="307" t="s">
        <v>431</v>
      </c>
      <c r="B21" s="230">
        <v>3630</v>
      </c>
      <c r="C21" s="303">
        <v>14</v>
      </c>
      <c r="D21" s="130">
        <v>45838</v>
      </c>
      <c r="E21" s="130">
        <f>F21+G21</f>
        <v>18000</v>
      </c>
      <c r="F21" s="130">
        <v>3000</v>
      </c>
      <c r="G21" s="130">
        <v>15000</v>
      </c>
      <c r="H21" s="43">
        <v>14000</v>
      </c>
      <c r="I21" s="130">
        <v>0</v>
      </c>
      <c r="J21" s="162">
        <v>0</v>
      </c>
    </row>
    <row r="22" spans="1:11" s="161" customFormat="1" ht="15.75" customHeight="1" x14ac:dyDescent="0.25">
      <c r="A22" s="473" t="s">
        <v>432</v>
      </c>
      <c r="B22" s="474"/>
      <c r="C22" s="474"/>
      <c r="D22" s="474"/>
      <c r="E22" s="239">
        <f>SUM(E20:E21)</f>
        <v>51990</v>
      </c>
      <c r="F22" s="239">
        <f t="shared" ref="F22:J22" si="3">SUM(F20:F21)</f>
        <v>8899</v>
      </c>
      <c r="G22" s="239">
        <f t="shared" si="3"/>
        <v>43091</v>
      </c>
      <c r="H22" s="239">
        <f t="shared" si="3"/>
        <v>41000</v>
      </c>
      <c r="I22" s="239">
        <f t="shared" si="3"/>
        <v>0</v>
      </c>
      <c r="J22" s="240">
        <f t="shared" si="3"/>
        <v>0</v>
      </c>
    </row>
    <row r="23" spans="1:11" s="161" customFormat="1" ht="18" customHeight="1" x14ac:dyDescent="0.25">
      <c r="A23" s="227" t="s">
        <v>37</v>
      </c>
      <c r="B23" s="228"/>
      <c r="C23" s="228"/>
      <c r="D23" s="228"/>
      <c r="E23" s="228"/>
      <c r="F23" s="228"/>
      <c r="G23" s="228"/>
      <c r="H23" s="228"/>
      <c r="I23" s="228"/>
      <c r="J23" s="229"/>
      <c r="K23" s="160"/>
    </row>
    <row r="24" spans="1:11" s="161" customFormat="1" ht="15" customHeight="1" x14ac:dyDescent="0.25">
      <c r="A24" s="302" t="s">
        <v>248</v>
      </c>
      <c r="B24" s="230">
        <v>3519</v>
      </c>
      <c r="C24" s="303">
        <v>14</v>
      </c>
      <c r="D24" s="130">
        <v>261000</v>
      </c>
      <c r="E24" s="130">
        <f>F24+G24</f>
        <v>150000</v>
      </c>
      <c r="F24" s="130">
        <v>64775</v>
      </c>
      <c r="G24" s="130">
        <v>85225</v>
      </c>
      <c r="H24" s="43">
        <v>84000</v>
      </c>
      <c r="I24" s="130">
        <v>65000</v>
      </c>
      <c r="J24" s="162">
        <v>59050</v>
      </c>
      <c r="K24" s="160"/>
    </row>
    <row r="25" spans="1:11" s="161" customFormat="1" ht="15.75" customHeight="1" x14ac:dyDescent="0.25">
      <c r="A25" s="473" t="s">
        <v>38</v>
      </c>
      <c r="B25" s="474"/>
      <c r="C25" s="474"/>
      <c r="D25" s="474"/>
      <c r="E25" s="239">
        <f>SUM(E24)</f>
        <v>150000</v>
      </c>
      <c r="F25" s="239">
        <f t="shared" ref="F25:I25" si="4">SUM(F24)</f>
        <v>64775</v>
      </c>
      <c r="G25" s="239">
        <f t="shared" si="4"/>
        <v>85225</v>
      </c>
      <c r="H25" s="239">
        <f t="shared" si="4"/>
        <v>84000</v>
      </c>
      <c r="I25" s="239">
        <f t="shared" si="4"/>
        <v>65000</v>
      </c>
      <c r="J25" s="240">
        <f>SUM(J24)</f>
        <v>59050</v>
      </c>
      <c r="K25" s="160"/>
    </row>
    <row r="26" spans="1:11" s="159" customFormat="1" ht="18" customHeight="1" x14ac:dyDescent="0.25">
      <c r="A26" s="301" t="s">
        <v>39</v>
      </c>
      <c r="B26" s="320"/>
      <c r="C26" s="321"/>
      <c r="D26" s="322"/>
      <c r="E26" s="322"/>
      <c r="F26" s="322"/>
      <c r="G26" s="322"/>
      <c r="H26" s="322"/>
      <c r="I26" s="322"/>
      <c r="J26" s="308"/>
    </row>
    <row r="27" spans="1:11" s="160" customFormat="1" ht="15" customHeight="1" x14ac:dyDescent="0.25">
      <c r="A27" s="201" t="s">
        <v>204</v>
      </c>
      <c r="B27" s="230">
        <v>3514</v>
      </c>
      <c r="C27" s="303">
        <v>14</v>
      </c>
      <c r="D27" s="130">
        <v>130000</v>
      </c>
      <c r="E27" s="130">
        <f>F27+G27</f>
        <v>98123</v>
      </c>
      <c r="F27" s="130">
        <v>46305</v>
      </c>
      <c r="G27" s="130">
        <v>51818</v>
      </c>
      <c r="H27" s="43">
        <v>51000</v>
      </c>
      <c r="I27" s="130">
        <v>22055</v>
      </c>
      <c r="J27" s="162">
        <v>20500</v>
      </c>
    </row>
    <row r="28" spans="1:11" s="160" customFormat="1" ht="15" customHeight="1" x14ac:dyDescent="0.25">
      <c r="A28" s="201" t="s">
        <v>251</v>
      </c>
      <c r="B28" s="230">
        <v>3523</v>
      </c>
      <c r="C28" s="303">
        <v>14</v>
      </c>
      <c r="D28" s="130">
        <v>180000</v>
      </c>
      <c r="E28" s="130">
        <f t="shared" ref="E28:E33" si="5">F28+G28</f>
        <v>15000</v>
      </c>
      <c r="F28" s="130">
        <v>2603</v>
      </c>
      <c r="G28" s="130">
        <v>12397</v>
      </c>
      <c r="H28" s="43">
        <v>12397</v>
      </c>
      <c r="I28" s="130">
        <v>0</v>
      </c>
      <c r="J28" s="162">
        <v>0</v>
      </c>
    </row>
    <row r="29" spans="1:11" s="160" customFormat="1" ht="15" customHeight="1" x14ac:dyDescent="0.25">
      <c r="A29" s="201" t="s">
        <v>322</v>
      </c>
      <c r="B29" s="230">
        <v>3524</v>
      </c>
      <c r="C29" s="303">
        <v>14</v>
      </c>
      <c r="D29" s="130">
        <v>180000</v>
      </c>
      <c r="E29" s="130">
        <f t="shared" si="5"/>
        <v>126290</v>
      </c>
      <c r="F29" s="130">
        <v>34520</v>
      </c>
      <c r="G29" s="130">
        <v>91770</v>
      </c>
      <c r="H29" s="43">
        <v>90000</v>
      </c>
      <c r="I29" s="130">
        <v>111570</v>
      </c>
      <c r="J29" s="162">
        <v>109500</v>
      </c>
    </row>
    <row r="30" spans="1:11" s="160" customFormat="1" ht="15" customHeight="1" x14ac:dyDescent="0.25">
      <c r="A30" s="201" t="s">
        <v>323</v>
      </c>
      <c r="B30" s="230">
        <v>3550</v>
      </c>
      <c r="C30" s="303">
        <v>14</v>
      </c>
      <c r="D30" s="130">
        <v>30500</v>
      </c>
      <c r="E30" s="130">
        <f>F30+G30</f>
        <v>0</v>
      </c>
      <c r="F30" s="130">
        <v>0</v>
      </c>
      <c r="G30" s="130">
        <v>0</v>
      </c>
      <c r="H30" s="43">
        <v>0</v>
      </c>
      <c r="I30" s="130">
        <v>25500</v>
      </c>
      <c r="J30" s="162">
        <v>24733</v>
      </c>
    </row>
    <row r="31" spans="1:11" s="160" customFormat="1" ht="15" customHeight="1" x14ac:dyDescent="0.25">
      <c r="A31" s="201" t="s">
        <v>498</v>
      </c>
      <c r="B31" s="230">
        <v>3554</v>
      </c>
      <c r="C31" s="303">
        <v>14</v>
      </c>
      <c r="D31" s="130">
        <v>11500</v>
      </c>
      <c r="E31" s="130">
        <f t="shared" si="5"/>
        <v>7006</v>
      </c>
      <c r="F31" s="130">
        <v>1051</v>
      </c>
      <c r="G31" s="130">
        <v>5955</v>
      </c>
      <c r="H31" s="43">
        <v>5500</v>
      </c>
      <c r="I31" s="130">
        <v>0</v>
      </c>
      <c r="J31" s="162">
        <v>0</v>
      </c>
    </row>
    <row r="32" spans="1:11" s="160" customFormat="1" ht="15" customHeight="1" x14ac:dyDescent="0.25">
      <c r="A32" s="201" t="s">
        <v>252</v>
      </c>
      <c r="B32" s="230">
        <v>3555</v>
      </c>
      <c r="C32" s="303">
        <v>14</v>
      </c>
      <c r="D32" s="130">
        <v>250000</v>
      </c>
      <c r="E32" s="130">
        <f t="shared" si="5"/>
        <v>102000</v>
      </c>
      <c r="F32" s="130">
        <v>67666</v>
      </c>
      <c r="G32" s="130">
        <v>34334</v>
      </c>
      <c r="H32" s="43">
        <v>33800</v>
      </c>
      <c r="I32" s="130">
        <v>0</v>
      </c>
      <c r="J32" s="162">
        <v>0</v>
      </c>
    </row>
    <row r="33" spans="1:11" s="160" customFormat="1" ht="15" customHeight="1" x14ac:dyDescent="0.25">
      <c r="A33" s="201" t="s">
        <v>289</v>
      </c>
      <c r="B33" s="232">
        <v>3577</v>
      </c>
      <c r="C33" s="303">
        <v>14</v>
      </c>
      <c r="D33" s="130">
        <v>58000</v>
      </c>
      <c r="E33" s="130">
        <f t="shared" si="5"/>
        <v>10000</v>
      </c>
      <c r="F33" s="130">
        <v>3030</v>
      </c>
      <c r="G33" s="130">
        <v>6970</v>
      </c>
      <c r="H33" s="43">
        <v>6000</v>
      </c>
      <c r="I33" s="130">
        <v>9075</v>
      </c>
      <c r="J33" s="162">
        <v>8000</v>
      </c>
    </row>
    <row r="34" spans="1:11" s="161" customFormat="1" ht="15.75" customHeight="1" x14ac:dyDescent="0.25">
      <c r="A34" s="473" t="s">
        <v>40</v>
      </c>
      <c r="B34" s="474"/>
      <c r="C34" s="474"/>
      <c r="D34" s="474" t="s">
        <v>237</v>
      </c>
      <c r="E34" s="239">
        <f t="shared" ref="E34:J34" si="6">SUM(E27:E33)</f>
        <v>358419</v>
      </c>
      <c r="F34" s="239">
        <f t="shared" si="6"/>
        <v>155175</v>
      </c>
      <c r="G34" s="239">
        <f t="shared" si="6"/>
        <v>203244</v>
      </c>
      <c r="H34" s="239">
        <f t="shared" si="6"/>
        <v>198697</v>
      </c>
      <c r="I34" s="239">
        <f t="shared" si="6"/>
        <v>168200</v>
      </c>
      <c r="J34" s="240">
        <f t="shared" si="6"/>
        <v>162733</v>
      </c>
    </row>
    <row r="35" spans="1:11" s="161" customFormat="1" ht="18" customHeight="1" x14ac:dyDescent="0.25">
      <c r="A35" s="305" t="s">
        <v>50</v>
      </c>
      <c r="B35" s="306"/>
      <c r="C35" s="306"/>
      <c r="D35" s="234"/>
      <c r="E35" s="234"/>
      <c r="F35" s="322"/>
      <c r="G35" s="322"/>
      <c r="H35" s="322"/>
      <c r="I35" s="234"/>
      <c r="J35" s="231"/>
      <c r="K35" s="159"/>
    </row>
    <row r="36" spans="1:11" s="161" customFormat="1" ht="15" customHeight="1" x14ac:dyDescent="0.25">
      <c r="A36" s="307" t="s">
        <v>388</v>
      </c>
      <c r="B36" s="232">
        <v>3601</v>
      </c>
      <c r="C36" s="303">
        <v>11</v>
      </c>
      <c r="D36" s="130">
        <v>230000</v>
      </c>
      <c r="E36" s="130">
        <f t="shared" ref="E36" si="7">F36+G36</f>
        <v>0</v>
      </c>
      <c r="F36" s="130">
        <v>0</v>
      </c>
      <c r="G36" s="130">
        <v>0</v>
      </c>
      <c r="H36" s="43">
        <v>0</v>
      </c>
      <c r="I36" s="130">
        <v>13000</v>
      </c>
      <c r="J36" s="162">
        <v>13000</v>
      </c>
      <c r="K36" s="309"/>
    </row>
    <row r="37" spans="1:11" s="161" customFormat="1" ht="15.75" customHeight="1" x14ac:dyDescent="0.25">
      <c r="A37" s="478" t="s">
        <v>52</v>
      </c>
      <c r="B37" s="479"/>
      <c r="C37" s="479"/>
      <c r="D37" s="480">
        <f>D36</f>
        <v>230000</v>
      </c>
      <c r="E37" s="239">
        <f>E36</f>
        <v>0</v>
      </c>
      <c r="F37" s="239">
        <f t="shared" ref="F37:J37" si="8">F36</f>
        <v>0</v>
      </c>
      <c r="G37" s="239">
        <f t="shared" si="8"/>
        <v>0</v>
      </c>
      <c r="H37" s="239">
        <f t="shared" si="8"/>
        <v>0</v>
      </c>
      <c r="I37" s="239">
        <f t="shared" si="8"/>
        <v>13000</v>
      </c>
      <c r="J37" s="240">
        <f t="shared" si="8"/>
        <v>13000</v>
      </c>
      <c r="K37" s="309"/>
    </row>
    <row r="38" spans="1:11" s="159" customFormat="1" ht="18" customHeight="1" x14ac:dyDescent="0.25">
      <c r="A38" s="301" t="s">
        <v>41</v>
      </c>
      <c r="B38" s="321"/>
      <c r="C38" s="321"/>
      <c r="D38" s="322"/>
      <c r="E38" s="322"/>
      <c r="F38" s="322"/>
      <c r="G38" s="322"/>
      <c r="H38" s="322"/>
      <c r="I38" s="322"/>
      <c r="J38" s="231"/>
    </row>
    <row r="39" spans="1:11" s="160" customFormat="1" ht="15" customHeight="1" x14ac:dyDescent="0.25">
      <c r="A39" s="302" t="s">
        <v>205</v>
      </c>
      <c r="B39" s="232">
        <v>3512</v>
      </c>
      <c r="C39" s="303">
        <v>14</v>
      </c>
      <c r="D39" s="130">
        <v>38000</v>
      </c>
      <c r="E39" s="130">
        <f t="shared" ref="E39:E47" si="9">F39+G39</f>
        <v>16475</v>
      </c>
      <c r="F39" s="130">
        <v>2096</v>
      </c>
      <c r="G39" s="130">
        <v>14379</v>
      </c>
      <c r="H39" s="43">
        <v>14000</v>
      </c>
      <c r="I39" s="130">
        <v>25500</v>
      </c>
      <c r="J39" s="162">
        <v>24211</v>
      </c>
    </row>
    <row r="40" spans="1:11" s="160" customFormat="1" ht="15" customHeight="1" x14ac:dyDescent="0.25">
      <c r="A40" s="302" t="s">
        <v>301</v>
      </c>
      <c r="B40" s="199">
        <v>3543</v>
      </c>
      <c r="C40" s="303">
        <v>14</v>
      </c>
      <c r="D40" s="130">
        <v>170500</v>
      </c>
      <c r="E40" s="130">
        <f t="shared" si="9"/>
        <v>77710</v>
      </c>
      <c r="F40" s="130">
        <v>33520</v>
      </c>
      <c r="G40" s="130">
        <v>44190</v>
      </c>
      <c r="H40" s="43">
        <v>43500</v>
      </c>
      <c r="I40" s="130">
        <v>26130</v>
      </c>
      <c r="J40" s="162">
        <v>22500</v>
      </c>
    </row>
    <row r="41" spans="1:11" s="160" customFormat="1" ht="15" customHeight="1" x14ac:dyDescent="0.25">
      <c r="A41" s="302" t="s">
        <v>300</v>
      </c>
      <c r="B41" s="199">
        <v>3544</v>
      </c>
      <c r="C41" s="303">
        <v>14</v>
      </c>
      <c r="D41" s="130">
        <v>35000</v>
      </c>
      <c r="E41" s="130">
        <f t="shared" si="9"/>
        <v>15800</v>
      </c>
      <c r="F41" s="130">
        <v>3000</v>
      </c>
      <c r="G41" s="130">
        <v>12800</v>
      </c>
      <c r="H41" s="43">
        <v>12500</v>
      </c>
      <c r="I41" s="130">
        <v>0</v>
      </c>
      <c r="J41" s="162">
        <v>0</v>
      </c>
    </row>
    <row r="42" spans="1:11" s="160" customFormat="1" ht="24" customHeight="1" x14ac:dyDescent="0.25">
      <c r="A42" s="302" t="s">
        <v>499</v>
      </c>
      <c r="B42" s="199">
        <v>3545</v>
      </c>
      <c r="C42" s="303">
        <v>14</v>
      </c>
      <c r="D42" s="130">
        <v>97000</v>
      </c>
      <c r="E42" s="130">
        <f t="shared" si="9"/>
        <v>41000</v>
      </c>
      <c r="F42" s="130">
        <v>30280</v>
      </c>
      <c r="G42" s="130">
        <v>10720</v>
      </c>
      <c r="H42" s="43">
        <v>10000</v>
      </c>
      <c r="I42" s="130">
        <v>0</v>
      </c>
      <c r="J42" s="162">
        <v>0</v>
      </c>
    </row>
    <row r="43" spans="1:11" s="160" customFormat="1" ht="15" customHeight="1" x14ac:dyDescent="0.25">
      <c r="A43" s="302" t="s">
        <v>297</v>
      </c>
      <c r="B43" s="199" t="s">
        <v>500</v>
      </c>
      <c r="C43" s="303">
        <v>14</v>
      </c>
      <c r="D43" s="130">
        <v>94700</v>
      </c>
      <c r="E43" s="130">
        <f t="shared" si="9"/>
        <v>41062</v>
      </c>
      <c r="F43" s="130">
        <v>6728</v>
      </c>
      <c r="G43" s="130">
        <v>34334</v>
      </c>
      <c r="H43" s="43">
        <v>34000</v>
      </c>
      <c r="I43" s="130">
        <v>0</v>
      </c>
      <c r="J43" s="162">
        <v>0</v>
      </c>
    </row>
    <row r="44" spans="1:11" s="160" customFormat="1" ht="15" customHeight="1" x14ac:dyDescent="0.25">
      <c r="A44" s="302" t="s">
        <v>501</v>
      </c>
      <c r="B44" s="232">
        <v>3579</v>
      </c>
      <c r="C44" s="303">
        <v>14</v>
      </c>
      <c r="D44" s="130">
        <v>65000</v>
      </c>
      <c r="E44" s="130">
        <f t="shared" si="9"/>
        <v>35000</v>
      </c>
      <c r="F44" s="130">
        <v>5250</v>
      </c>
      <c r="G44" s="130">
        <v>29750</v>
      </c>
      <c r="H44" s="43">
        <v>28500</v>
      </c>
      <c r="I44" s="130">
        <v>12775</v>
      </c>
      <c r="J44" s="162">
        <v>10000</v>
      </c>
    </row>
    <row r="45" spans="1:11" s="160" customFormat="1" ht="15" customHeight="1" x14ac:dyDescent="0.25">
      <c r="A45" s="302" t="s">
        <v>502</v>
      </c>
      <c r="B45" s="232" t="s">
        <v>503</v>
      </c>
      <c r="C45" s="303">
        <v>14</v>
      </c>
      <c r="D45" s="130">
        <v>85000</v>
      </c>
      <c r="E45" s="130">
        <f t="shared" si="9"/>
        <v>50000</v>
      </c>
      <c r="F45" s="130">
        <v>16000</v>
      </c>
      <c r="G45" s="130">
        <v>34000</v>
      </c>
      <c r="H45" s="43">
        <v>33000</v>
      </c>
      <c r="I45" s="130">
        <v>0</v>
      </c>
      <c r="J45" s="162">
        <v>0</v>
      </c>
      <c r="K45" s="309"/>
    </row>
    <row r="46" spans="1:11" s="160" customFormat="1" ht="15" customHeight="1" x14ac:dyDescent="0.25">
      <c r="A46" s="302" t="s">
        <v>299</v>
      </c>
      <c r="B46" s="232" t="s">
        <v>504</v>
      </c>
      <c r="C46" s="303">
        <v>14</v>
      </c>
      <c r="D46" s="130">
        <v>175000</v>
      </c>
      <c r="E46" s="130">
        <f t="shared" si="9"/>
        <v>74500</v>
      </c>
      <c r="F46" s="130">
        <v>45940</v>
      </c>
      <c r="G46" s="130">
        <v>28560</v>
      </c>
      <c r="H46" s="43">
        <v>27710</v>
      </c>
      <c r="I46" s="130">
        <v>0</v>
      </c>
      <c r="J46" s="162">
        <v>0</v>
      </c>
      <c r="K46" s="309"/>
    </row>
    <row r="47" spans="1:11" s="160" customFormat="1" ht="15" customHeight="1" x14ac:dyDescent="0.25">
      <c r="A47" s="302" t="s">
        <v>505</v>
      </c>
      <c r="B47" s="232" t="s">
        <v>506</v>
      </c>
      <c r="C47" s="303">
        <v>14</v>
      </c>
      <c r="D47" s="130">
        <v>130000</v>
      </c>
      <c r="E47" s="130">
        <f t="shared" si="9"/>
        <v>60000</v>
      </c>
      <c r="F47" s="130">
        <v>9000</v>
      </c>
      <c r="G47" s="130">
        <v>51000</v>
      </c>
      <c r="H47" s="43">
        <v>49750</v>
      </c>
      <c r="I47" s="130">
        <v>0</v>
      </c>
      <c r="J47" s="162">
        <v>0</v>
      </c>
    </row>
    <row r="48" spans="1:11" s="161" customFormat="1" ht="15.75" customHeight="1" x14ac:dyDescent="0.25">
      <c r="A48" s="473" t="s">
        <v>42</v>
      </c>
      <c r="B48" s="474"/>
      <c r="C48" s="474"/>
      <c r="D48" s="474" t="s">
        <v>237</v>
      </c>
      <c r="E48" s="239">
        <f>SUM(E39:E47)</f>
        <v>411547</v>
      </c>
      <c r="F48" s="239">
        <f>SUM(F39:F47)</f>
        <v>151814</v>
      </c>
      <c r="G48" s="239">
        <f>SUM(G39:G47)</f>
        <v>259733</v>
      </c>
      <c r="H48" s="239">
        <f>SUM(H39:H47)</f>
        <v>252960</v>
      </c>
      <c r="I48" s="239">
        <f t="shared" ref="I48:J48" si="10">SUM(I39:I47)</f>
        <v>64405</v>
      </c>
      <c r="J48" s="240">
        <f t="shared" si="10"/>
        <v>56711</v>
      </c>
    </row>
    <row r="49" spans="1:11" s="159" customFormat="1" ht="18" customHeight="1" x14ac:dyDescent="0.25">
      <c r="A49" s="301" t="s">
        <v>43</v>
      </c>
      <c r="B49" s="321"/>
      <c r="C49" s="321"/>
      <c r="D49" s="322"/>
      <c r="E49" s="322"/>
      <c r="F49" s="322"/>
      <c r="G49" s="322"/>
      <c r="H49" s="322"/>
      <c r="I49" s="322"/>
      <c r="J49" s="231"/>
    </row>
    <row r="50" spans="1:11" s="160" customFormat="1" ht="24" customHeight="1" x14ac:dyDescent="0.25">
      <c r="A50" s="302" t="s">
        <v>474</v>
      </c>
      <c r="B50" s="232" t="s">
        <v>507</v>
      </c>
      <c r="C50" s="303">
        <v>14</v>
      </c>
      <c r="D50" s="130">
        <v>36000</v>
      </c>
      <c r="E50" s="130">
        <f>F50+G50</f>
        <v>18000</v>
      </c>
      <c r="F50" s="130">
        <v>3150</v>
      </c>
      <c r="G50" s="130">
        <v>14850</v>
      </c>
      <c r="H50" s="43">
        <v>14500</v>
      </c>
      <c r="I50" s="130">
        <v>0</v>
      </c>
      <c r="J50" s="162">
        <v>0</v>
      </c>
    </row>
    <row r="51" spans="1:11" s="160" customFormat="1" ht="15" customHeight="1" x14ac:dyDescent="0.25">
      <c r="A51" s="302" t="s">
        <v>473</v>
      </c>
      <c r="B51" s="232" t="s">
        <v>508</v>
      </c>
      <c r="C51" s="303">
        <v>14</v>
      </c>
      <c r="D51" s="130">
        <v>28000</v>
      </c>
      <c r="E51" s="130">
        <f t="shared" ref="E51:E65" si="11">F51+G51</f>
        <v>12000</v>
      </c>
      <c r="F51" s="130">
        <v>2100</v>
      </c>
      <c r="G51" s="130">
        <v>9900</v>
      </c>
      <c r="H51" s="43">
        <v>9500</v>
      </c>
      <c r="I51" s="130">
        <v>0</v>
      </c>
      <c r="J51" s="162">
        <v>0</v>
      </c>
    </row>
    <row r="52" spans="1:11" s="160" customFormat="1" ht="24" customHeight="1" x14ac:dyDescent="0.25">
      <c r="A52" s="302" t="s">
        <v>259</v>
      </c>
      <c r="B52" s="232">
        <v>3515</v>
      </c>
      <c r="C52" s="303">
        <v>14</v>
      </c>
      <c r="D52" s="130">
        <v>90000</v>
      </c>
      <c r="E52" s="130">
        <f t="shared" si="11"/>
        <v>67000</v>
      </c>
      <c r="F52" s="130">
        <v>17925</v>
      </c>
      <c r="G52" s="130">
        <v>49075</v>
      </c>
      <c r="H52" s="43">
        <v>48700</v>
      </c>
      <c r="I52" s="130">
        <v>26400</v>
      </c>
      <c r="J52" s="162">
        <v>26200</v>
      </c>
    </row>
    <row r="53" spans="1:11" s="160" customFormat="1" ht="24" customHeight="1" x14ac:dyDescent="0.25">
      <c r="A53" s="302" t="s">
        <v>509</v>
      </c>
      <c r="B53" s="232">
        <v>3516</v>
      </c>
      <c r="C53" s="303">
        <v>14</v>
      </c>
      <c r="D53" s="130">
        <v>140000</v>
      </c>
      <c r="E53" s="130">
        <f t="shared" si="11"/>
        <v>51000</v>
      </c>
      <c r="F53" s="130">
        <v>5100</v>
      </c>
      <c r="G53" s="130">
        <v>45900</v>
      </c>
      <c r="H53" s="43">
        <v>45000</v>
      </c>
      <c r="I53" s="130">
        <v>0</v>
      </c>
      <c r="J53" s="162">
        <v>0</v>
      </c>
    </row>
    <row r="54" spans="1:11" s="160" customFormat="1" ht="15" customHeight="1" x14ac:dyDescent="0.25">
      <c r="A54" s="302" t="s">
        <v>261</v>
      </c>
      <c r="B54" s="232">
        <v>3517</v>
      </c>
      <c r="C54" s="303">
        <v>14</v>
      </c>
      <c r="D54" s="130">
        <v>130000</v>
      </c>
      <c r="E54" s="130">
        <f t="shared" si="11"/>
        <v>70000</v>
      </c>
      <c r="F54" s="130">
        <v>20500</v>
      </c>
      <c r="G54" s="130">
        <v>49500</v>
      </c>
      <c r="H54" s="43">
        <v>49000</v>
      </c>
      <c r="I54" s="130">
        <v>0</v>
      </c>
      <c r="J54" s="162">
        <v>0</v>
      </c>
    </row>
    <row r="55" spans="1:11" s="160" customFormat="1" ht="15" customHeight="1" x14ac:dyDescent="0.25">
      <c r="A55" s="302" t="s">
        <v>262</v>
      </c>
      <c r="B55" s="230">
        <v>3520</v>
      </c>
      <c r="C55" s="303">
        <v>14</v>
      </c>
      <c r="D55" s="130">
        <v>70000</v>
      </c>
      <c r="E55" s="130">
        <f t="shared" si="11"/>
        <v>34123</v>
      </c>
      <c r="F55" s="130">
        <v>9493</v>
      </c>
      <c r="G55" s="130">
        <v>24630</v>
      </c>
      <c r="H55" s="43">
        <v>24300</v>
      </c>
      <c r="I55" s="130">
        <v>46260</v>
      </c>
      <c r="J55" s="162">
        <v>24300</v>
      </c>
    </row>
    <row r="56" spans="1:11" s="160" customFormat="1" ht="15" customHeight="1" x14ac:dyDescent="0.25">
      <c r="A56" s="302" t="s">
        <v>272</v>
      </c>
      <c r="B56" s="230">
        <v>3525</v>
      </c>
      <c r="C56" s="303">
        <v>14</v>
      </c>
      <c r="D56" s="130">
        <v>10000</v>
      </c>
      <c r="E56" s="130">
        <f t="shared" si="11"/>
        <v>9800</v>
      </c>
      <c r="F56" s="130">
        <v>980</v>
      </c>
      <c r="G56" s="130">
        <v>8820</v>
      </c>
      <c r="H56" s="43">
        <v>8500</v>
      </c>
      <c r="I56" s="130">
        <v>0</v>
      </c>
      <c r="J56" s="162">
        <v>0</v>
      </c>
    </row>
    <row r="57" spans="1:11" s="160" customFormat="1" ht="15" customHeight="1" x14ac:dyDescent="0.25">
      <c r="A57" s="310" t="s">
        <v>303</v>
      </c>
      <c r="B57" s="232">
        <v>3569</v>
      </c>
      <c r="C57" s="303">
        <v>14</v>
      </c>
      <c r="D57" s="130">
        <v>16000</v>
      </c>
      <c r="E57" s="130">
        <f t="shared" si="11"/>
        <v>7070</v>
      </c>
      <c r="F57" s="130">
        <v>1715</v>
      </c>
      <c r="G57" s="130">
        <v>5355</v>
      </c>
      <c r="H57" s="43">
        <v>5000</v>
      </c>
      <c r="I57" s="130">
        <v>8925</v>
      </c>
      <c r="J57" s="162">
        <v>7774</v>
      </c>
    </row>
    <row r="58" spans="1:11" s="160" customFormat="1" ht="15" customHeight="1" x14ac:dyDescent="0.25">
      <c r="A58" s="310" t="s">
        <v>464</v>
      </c>
      <c r="B58" s="232">
        <v>3608</v>
      </c>
      <c r="C58" s="303">
        <v>14</v>
      </c>
      <c r="D58" s="130">
        <v>113500</v>
      </c>
      <c r="E58" s="130">
        <f t="shared" si="11"/>
        <v>50055</v>
      </c>
      <c r="F58" s="130">
        <v>19410</v>
      </c>
      <c r="G58" s="130">
        <v>30645</v>
      </c>
      <c r="H58" s="43">
        <v>30000</v>
      </c>
      <c r="I58" s="130">
        <v>0</v>
      </c>
      <c r="J58" s="162">
        <v>0</v>
      </c>
    </row>
    <row r="59" spans="1:11" s="160" customFormat="1" ht="15" customHeight="1" x14ac:dyDescent="0.25">
      <c r="A59" s="310" t="s">
        <v>466</v>
      </c>
      <c r="B59" s="232">
        <v>3609</v>
      </c>
      <c r="C59" s="303">
        <v>14</v>
      </c>
      <c r="D59" s="130">
        <v>45000</v>
      </c>
      <c r="E59" s="130">
        <f t="shared" si="11"/>
        <v>40045</v>
      </c>
      <c r="F59" s="130">
        <v>34815</v>
      </c>
      <c r="G59" s="130">
        <v>5230</v>
      </c>
      <c r="H59" s="43">
        <v>5000</v>
      </c>
      <c r="I59" s="130">
        <v>0</v>
      </c>
      <c r="J59" s="162">
        <v>0</v>
      </c>
    </row>
    <row r="60" spans="1:11" s="160" customFormat="1" ht="15" customHeight="1" x14ac:dyDescent="0.25">
      <c r="A60" s="310" t="s">
        <v>390</v>
      </c>
      <c r="B60" s="232">
        <v>3612</v>
      </c>
      <c r="C60" s="303">
        <v>14</v>
      </c>
      <c r="D60" s="130">
        <v>10500</v>
      </c>
      <c r="E60" s="130">
        <f t="shared" si="11"/>
        <v>9335</v>
      </c>
      <c r="F60" s="130">
        <v>5135</v>
      </c>
      <c r="G60" s="130">
        <v>4200</v>
      </c>
      <c r="H60" s="43">
        <v>4000</v>
      </c>
      <c r="I60" s="130">
        <v>4254</v>
      </c>
      <c r="J60" s="162">
        <v>4000</v>
      </c>
    </row>
    <row r="61" spans="1:11" s="160" customFormat="1" ht="15" customHeight="1" x14ac:dyDescent="0.25">
      <c r="A61" s="310" t="s">
        <v>465</v>
      </c>
      <c r="B61" s="232">
        <v>3614</v>
      </c>
      <c r="C61" s="303">
        <v>14</v>
      </c>
      <c r="D61" s="130">
        <v>20500</v>
      </c>
      <c r="E61" s="130">
        <f t="shared" si="11"/>
        <v>17648</v>
      </c>
      <c r="F61" s="130">
        <v>10236</v>
      </c>
      <c r="G61" s="130">
        <v>7412</v>
      </c>
      <c r="H61" s="43">
        <v>7000</v>
      </c>
      <c r="I61" s="130">
        <v>0</v>
      </c>
      <c r="J61" s="162">
        <v>0</v>
      </c>
    </row>
    <row r="62" spans="1:11" s="160" customFormat="1" ht="15" customHeight="1" x14ac:dyDescent="0.25">
      <c r="A62" s="310" t="s">
        <v>461</v>
      </c>
      <c r="B62" s="232">
        <v>3617</v>
      </c>
      <c r="C62" s="303">
        <v>14</v>
      </c>
      <c r="D62" s="130">
        <v>37500</v>
      </c>
      <c r="E62" s="130">
        <f t="shared" si="11"/>
        <v>32966</v>
      </c>
      <c r="F62" s="130">
        <v>26043</v>
      </c>
      <c r="G62" s="130">
        <v>6923</v>
      </c>
      <c r="H62" s="43">
        <v>6700</v>
      </c>
      <c r="I62" s="130">
        <v>0</v>
      </c>
      <c r="J62" s="162">
        <v>0</v>
      </c>
    </row>
    <row r="63" spans="1:11" s="160" customFormat="1" ht="15" customHeight="1" x14ac:dyDescent="0.25">
      <c r="A63" s="310" t="s">
        <v>455</v>
      </c>
      <c r="B63" s="232">
        <v>3618</v>
      </c>
      <c r="C63" s="303">
        <v>14</v>
      </c>
      <c r="D63" s="130">
        <v>147000</v>
      </c>
      <c r="E63" s="130">
        <f t="shared" si="11"/>
        <v>66150</v>
      </c>
      <c r="F63" s="130">
        <v>43367</v>
      </c>
      <c r="G63" s="130">
        <v>22783</v>
      </c>
      <c r="H63" s="43">
        <v>22283</v>
      </c>
      <c r="I63" s="130">
        <v>0</v>
      </c>
      <c r="J63" s="162">
        <v>0</v>
      </c>
    </row>
    <row r="64" spans="1:11" s="160" customFormat="1" ht="15" customHeight="1" x14ac:dyDescent="0.25">
      <c r="A64" s="310" t="s">
        <v>510</v>
      </c>
      <c r="B64" s="232">
        <v>3650</v>
      </c>
      <c r="C64" s="303">
        <v>14</v>
      </c>
      <c r="D64" s="130">
        <v>37500</v>
      </c>
      <c r="E64" s="130">
        <f t="shared" si="11"/>
        <v>30000</v>
      </c>
      <c r="F64" s="130">
        <v>5206</v>
      </c>
      <c r="G64" s="130">
        <v>24794</v>
      </c>
      <c r="H64" s="43">
        <v>20000</v>
      </c>
      <c r="I64" s="130">
        <v>0</v>
      </c>
      <c r="J64" s="162">
        <v>0</v>
      </c>
      <c r="K64" s="309"/>
    </row>
    <row r="65" spans="1:10" s="160" customFormat="1" ht="15" customHeight="1" x14ac:dyDescent="0.25">
      <c r="A65" s="310" t="s">
        <v>469</v>
      </c>
      <c r="B65" s="232">
        <v>3666</v>
      </c>
      <c r="C65" s="303">
        <v>14</v>
      </c>
      <c r="D65" s="130">
        <v>38000</v>
      </c>
      <c r="E65" s="130">
        <f t="shared" si="11"/>
        <v>37100</v>
      </c>
      <c r="F65" s="130">
        <v>6455</v>
      </c>
      <c r="G65" s="130">
        <v>30645</v>
      </c>
      <c r="H65" s="43">
        <v>30000</v>
      </c>
      <c r="I65" s="130">
        <v>0</v>
      </c>
      <c r="J65" s="162">
        <v>0</v>
      </c>
    </row>
    <row r="66" spans="1:10" s="161" customFormat="1" ht="15.75" customHeight="1" x14ac:dyDescent="0.25">
      <c r="A66" s="473" t="s">
        <v>44</v>
      </c>
      <c r="B66" s="474"/>
      <c r="C66" s="474"/>
      <c r="D66" s="474" t="s">
        <v>237</v>
      </c>
      <c r="E66" s="239">
        <f>SUM(E50:E65)</f>
        <v>552292</v>
      </c>
      <c r="F66" s="239">
        <f t="shared" ref="F66:J66" si="12">SUM(F50:F65)</f>
        <v>211630</v>
      </c>
      <c r="G66" s="239">
        <f t="shared" si="12"/>
        <v>340662</v>
      </c>
      <c r="H66" s="239">
        <f t="shared" si="12"/>
        <v>329483</v>
      </c>
      <c r="I66" s="239">
        <f t="shared" si="12"/>
        <v>85839</v>
      </c>
      <c r="J66" s="240">
        <f t="shared" si="12"/>
        <v>62274</v>
      </c>
    </row>
    <row r="67" spans="1:10" s="159" customFormat="1" ht="18" customHeight="1" x14ac:dyDescent="0.25">
      <c r="A67" s="301" t="s">
        <v>173</v>
      </c>
      <c r="B67" s="321"/>
      <c r="C67" s="321"/>
      <c r="D67" s="322"/>
      <c r="E67" s="322"/>
      <c r="F67" s="322"/>
      <c r="G67" s="322"/>
      <c r="H67" s="322"/>
      <c r="I67" s="322"/>
      <c r="J67" s="231"/>
    </row>
    <row r="68" spans="1:10" s="160" customFormat="1" ht="15" customHeight="1" x14ac:dyDescent="0.25">
      <c r="A68" s="311" t="s">
        <v>305</v>
      </c>
      <c r="B68" s="233">
        <v>3572</v>
      </c>
      <c r="C68" s="312">
        <v>14</v>
      </c>
      <c r="D68" s="130">
        <v>95000</v>
      </c>
      <c r="E68" s="130">
        <f t="shared" ref="E68" si="13">F68+G68</f>
        <v>65000</v>
      </c>
      <c r="F68" s="130">
        <v>21894</v>
      </c>
      <c r="G68" s="130">
        <v>43106</v>
      </c>
      <c r="H68" s="43">
        <v>42500</v>
      </c>
      <c r="I68" s="130">
        <v>0</v>
      </c>
      <c r="J68" s="162">
        <v>0</v>
      </c>
    </row>
    <row r="69" spans="1:10" s="161" customFormat="1" ht="15.75" customHeight="1" x14ac:dyDescent="0.25">
      <c r="A69" s="473" t="s">
        <v>174</v>
      </c>
      <c r="B69" s="474"/>
      <c r="C69" s="474"/>
      <c r="D69" s="474" t="s">
        <v>237</v>
      </c>
      <c r="E69" s="239">
        <f>SUM(E68)</f>
        <v>65000</v>
      </c>
      <c r="F69" s="239">
        <f t="shared" ref="F69:I69" si="14">SUM(F68)</f>
        <v>21894</v>
      </c>
      <c r="G69" s="239">
        <f t="shared" si="14"/>
        <v>43106</v>
      </c>
      <c r="H69" s="239">
        <f t="shared" si="14"/>
        <v>42500</v>
      </c>
      <c r="I69" s="239">
        <f t="shared" si="14"/>
        <v>0</v>
      </c>
      <c r="J69" s="240">
        <f>SUM(J68)</f>
        <v>0</v>
      </c>
    </row>
    <row r="70" spans="1:10" s="159" customFormat="1" ht="18" customHeight="1" x14ac:dyDescent="0.25">
      <c r="A70" s="305" t="s">
        <v>45</v>
      </c>
      <c r="B70" s="306"/>
      <c r="C70" s="306"/>
      <c r="D70" s="234"/>
      <c r="E70" s="234"/>
      <c r="F70" s="322"/>
      <c r="G70" s="322"/>
      <c r="H70" s="322"/>
      <c r="I70" s="234"/>
      <c r="J70" s="231"/>
    </row>
    <row r="71" spans="1:10" s="160" customFormat="1" ht="15" customHeight="1" x14ac:dyDescent="0.25">
      <c r="A71" s="307" t="s">
        <v>324</v>
      </c>
      <c r="B71" s="232">
        <v>3292</v>
      </c>
      <c r="C71" s="303">
        <v>14</v>
      </c>
      <c r="D71" s="130">
        <v>249999.6</v>
      </c>
      <c r="E71" s="130">
        <f t="shared" ref="E71" si="15">F71+G71</f>
        <v>111812</v>
      </c>
      <c r="F71" s="130">
        <v>25272</v>
      </c>
      <c r="G71" s="130">
        <v>86540</v>
      </c>
      <c r="H71" s="43">
        <v>85800</v>
      </c>
      <c r="I71" s="130">
        <v>35960</v>
      </c>
      <c r="J71" s="162">
        <v>25000</v>
      </c>
    </row>
    <row r="72" spans="1:10" s="161" customFormat="1" ht="16.5" customHeight="1" thickBot="1" x14ac:dyDescent="0.3">
      <c r="A72" s="473" t="s">
        <v>46</v>
      </c>
      <c r="B72" s="474"/>
      <c r="C72" s="474"/>
      <c r="D72" s="474" t="s">
        <v>237</v>
      </c>
      <c r="E72" s="239">
        <f>E71</f>
        <v>111812</v>
      </c>
      <c r="F72" s="239">
        <f t="shared" ref="F72:J72" si="16">F71</f>
        <v>25272</v>
      </c>
      <c r="G72" s="239">
        <f t="shared" si="16"/>
        <v>86540</v>
      </c>
      <c r="H72" s="239">
        <f t="shared" si="16"/>
        <v>85800</v>
      </c>
      <c r="I72" s="239">
        <f t="shared" si="16"/>
        <v>35960</v>
      </c>
      <c r="J72" s="240">
        <f t="shared" si="16"/>
        <v>25000</v>
      </c>
    </row>
    <row r="73" spans="1:10" s="161" customFormat="1" ht="18" customHeight="1" thickBot="1" x14ac:dyDescent="0.3">
      <c r="A73" s="467" t="s">
        <v>190</v>
      </c>
      <c r="B73" s="468"/>
      <c r="C73" s="468"/>
      <c r="D73" s="469"/>
      <c r="E73" s="313">
        <f t="shared" ref="E73:J73" si="17">E18+E25+E34+E37+E48+E66+E69+E72+E22</f>
        <v>2058060</v>
      </c>
      <c r="F73" s="313">
        <f t="shared" si="17"/>
        <v>711794</v>
      </c>
      <c r="G73" s="313">
        <f t="shared" si="17"/>
        <v>1346266</v>
      </c>
      <c r="H73" s="313">
        <f t="shared" si="17"/>
        <v>1314040</v>
      </c>
      <c r="I73" s="313">
        <f t="shared" si="17"/>
        <v>536545</v>
      </c>
      <c r="J73" s="314">
        <f t="shared" si="17"/>
        <v>466894</v>
      </c>
    </row>
    <row r="74" spans="1:10" s="161" customFormat="1" ht="24" customHeight="1" thickBot="1" x14ac:dyDescent="0.3">
      <c r="A74" s="164"/>
      <c r="B74" s="323"/>
      <c r="C74" s="323"/>
      <c r="D74" s="324"/>
      <c r="E74" s="324"/>
      <c r="F74" s="324"/>
      <c r="G74" s="324"/>
      <c r="H74" s="324"/>
      <c r="I74" s="202"/>
      <c r="J74" s="231"/>
    </row>
    <row r="75" spans="1:10" s="161" customFormat="1" ht="21" customHeight="1" x14ac:dyDescent="0.25">
      <c r="A75" s="475" t="s">
        <v>189</v>
      </c>
      <c r="B75" s="476"/>
      <c r="C75" s="476"/>
      <c r="D75" s="476"/>
      <c r="E75" s="476"/>
      <c r="F75" s="476"/>
      <c r="G75" s="476"/>
      <c r="H75" s="476"/>
      <c r="I75" s="476"/>
      <c r="J75" s="477"/>
    </row>
    <row r="76" spans="1:10" s="159" customFormat="1" ht="18" customHeight="1" x14ac:dyDescent="0.25">
      <c r="A76" s="315" t="s">
        <v>43</v>
      </c>
      <c r="B76" s="235"/>
      <c r="C76" s="235"/>
      <c r="D76" s="235"/>
      <c r="E76" s="235"/>
      <c r="F76" s="235"/>
      <c r="G76" s="235"/>
      <c r="H76" s="235"/>
      <c r="I76" s="235"/>
      <c r="J76" s="231"/>
    </row>
    <row r="77" spans="1:10" s="159" customFormat="1" ht="15" customHeight="1" x14ac:dyDescent="0.25">
      <c r="A77" s="200" t="s">
        <v>325</v>
      </c>
      <c r="B77" s="236">
        <v>5999</v>
      </c>
      <c r="C77" s="237">
        <v>14</v>
      </c>
      <c r="D77" s="174">
        <v>166000.198</v>
      </c>
      <c r="E77" s="130">
        <f>F77+G77</f>
        <v>0</v>
      </c>
      <c r="F77" s="174">
        <v>0</v>
      </c>
      <c r="G77" s="130">
        <v>0</v>
      </c>
      <c r="H77" s="158">
        <v>0</v>
      </c>
      <c r="I77" s="130">
        <v>67000</v>
      </c>
      <c r="J77" s="163">
        <v>16711</v>
      </c>
    </row>
    <row r="78" spans="1:10" s="161" customFormat="1" ht="16.5" customHeight="1" thickBot="1" x14ac:dyDescent="0.3">
      <c r="A78" s="478" t="s">
        <v>44</v>
      </c>
      <c r="B78" s="479"/>
      <c r="C78" s="479"/>
      <c r="D78" s="480" t="s">
        <v>237</v>
      </c>
      <c r="E78" s="239">
        <f t="shared" ref="E78:J78" si="18">SUM(E77:E77)</f>
        <v>0</v>
      </c>
      <c r="F78" s="239">
        <f t="shared" si="18"/>
        <v>0</v>
      </c>
      <c r="G78" s="239">
        <f t="shared" si="18"/>
        <v>0</v>
      </c>
      <c r="H78" s="239">
        <f t="shared" si="18"/>
        <v>0</v>
      </c>
      <c r="I78" s="239">
        <f t="shared" si="18"/>
        <v>67000</v>
      </c>
      <c r="J78" s="240">
        <f t="shared" si="18"/>
        <v>16711</v>
      </c>
    </row>
    <row r="79" spans="1:10" s="161" customFormat="1" ht="27.75" customHeight="1" thickBot="1" x14ac:dyDescent="0.3">
      <c r="A79" s="467" t="s">
        <v>191</v>
      </c>
      <c r="B79" s="468"/>
      <c r="C79" s="468"/>
      <c r="D79" s="469"/>
      <c r="E79" s="313">
        <f>E78</f>
        <v>0</v>
      </c>
      <c r="F79" s="313">
        <f t="shared" ref="F79:I79" si="19">F78</f>
        <v>0</v>
      </c>
      <c r="G79" s="313">
        <f t="shared" si="19"/>
        <v>0</v>
      </c>
      <c r="H79" s="313">
        <f t="shared" si="19"/>
        <v>0</v>
      </c>
      <c r="I79" s="313">
        <f t="shared" si="19"/>
        <v>67000</v>
      </c>
      <c r="J79" s="314">
        <f>J78</f>
        <v>16711</v>
      </c>
    </row>
    <row r="80" spans="1:10" s="161" customFormat="1" ht="13.5" customHeight="1" thickBot="1" x14ac:dyDescent="0.3">
      <c r="A80" s="316"/>
      <c r="B80" s="325"/>
      <c r="C80" s="318"/>
      <c r="D80" s="326"/>
      <c r="E80" s="326"/>
      <c r="F80" s="326"/>
      <c r="G80" s="326"/>
      <c r="H80" s="326"/>
      <c r="I80" s="326"/>
      <c r="J80" s="317"/>
    </row>
    <row r="81" spans="1:13" s="161" customFormat="1" ht="24" customHeight="1" thickBot="1" x14ac:dyDescent="0.3">
      <c r="A81" s="467" t="s">
        <v>32</v>
      </c>
      <c r="B81" s="468"/>
      <c r="C81" s="468"/>
      <c r="D81" s="469"/>
      <c r="E81" s="313">
        <f>E73+E79</f>
        <v>2058060</v>
      </c>
      <c r="F81" s="313">
        <f t="shared" ref="F81:G81" si="20">F73+F79</f>
        <v>711794</v>
      </c>
      <c r="G81" s="313">
        <f t="shared" si="20"/>
        <v>1346266</v>
      </c>
      <c r="H81" s="313">
        <f>H73+H79</f>
        <v>1314040</v>
      </c>
      <c r="I81" s="313">
        <f>I73+I79</f>
        <v>603545</v>
      </c>
      <c r="J81" s="314">
        <f>J73+J79</f>
        <v>483605</v>
      </c>
    </row>
    <row r="85" spans="1:13" s="149" customFormat="1" x14ac:dyDescent="0.2">
      <c r="A85" s="42"/>
      <c r="B85" s="197"/>
      <c r="C85" s="198"/>
      <c r="I85" s="238"/>
      <c r="K85" s="42"/>
      <c r="L85" s="42"/>
      <c r="M85" s="42"/>
    </row>
  </sheetData>
  <mergeCells count="24">
    <mergeCell ref="A79:D79"/>
    <mergeCell ref="A81:D81"/>
    <mergeCell ref="A5:J5"/>
    <mergeCell ref="A66:D66"/>
    <mergeCell ref="A69:D69"/>
    <mergeCell ref="A72:D72"/>
    <mergeCell ref="A73:D73"/>
    <mergeCell ref="A75:J75"/>
    <mergeCell ref="A78:D78"/>
    <mergeCell ref="A18:D18"/>
    <mergeCell ref="A22:D22"/>
    <mergeCell ref="A25:D25"/>
    <mergeCell ref="A34:D34"/>
    <mergeCell ref="A37:D37"/>
    <mergeCell ref="A48:D48"/>
    <mergeCell ref="A1:J1"/>
    <mergeCell ref="A3:A4"/>
    <mergeCell ref="B3:B4"/>
    <mergeCell ref="C3:C4"/>
    <mergeCell ref="D3:D4"/>
    <mergeCell ref="E3:E4"/>
    <mergeCell ref="F3:F4"/>
    <mergeCell ref="G3:H3"/>
    <mergeCell ref="I3:J3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96" firstPageNumber="22" fitToHeight="0" orientation="landscape" useFirstPageNumber="1" r:id="rId1"/>
  <headerFooter>
    <oddHeader>&amp;L&amp;"Tahoma,Kurzíva"&amp;9Návrh rozpočtu na rok 2025
Příloha č. 9&amp;R&amp;"Tahoma,Kurzíva"&amp;9Přehled akcí financovaných z úvěrových zdrojů v návrhu rozpočtu kraje na rok 2025</oddHeader>
    <oddFooter>&amp;C&amp;"Tahoma,Obyčejné"&amp;10&amp;P</oddFooter>
  </headerFooter>
  <rowBreaks count="2" manualBreakCount="2">
    <brk id="29" max="9" man="1"/>
    <brk id="5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0118-68AE-4DE2-912A-03D4B8ECB88D}">
  <sheetPr>
    <pageSetUpPr fitToPage="1"/>
  </sheetPr>
  <dimension ref="A1:F160"/>
  <sheetViews>
    <sheetView zoomScaleNormal="100" zoomScaleSheetLayoutView="100" workbookViewId="0">
      <selection activeCell="E6" sqref="E6"/>
    </sheetView>
  </sheetViews>
  <sheetFormatPr defaultColWidth="9.28515625" defaultRowHeight="10.5" x14ac:dyDescent="0.15"/>
  <cols>
    <col min="1" max="1" width="7" style="222" customWidth="1"/>
    <col min="2" max="2" width="30" style="212" customWidth="1"/>
    <col min="3" max="3" width="12.28515625" style="221" customWidth="1"/>
    <col min="4" max="4" width="52.7109375" style="188" customWidth="1"/>
    <col min="5" max="5" width="15.7109375" style="211" customWidth="1"/>
    <col min="6" max="16384" width="9.28515625" style="212"/>
  </cols>
  <sheetData>
    <row r="1" spans="1:6" s="209" customFormat="1" ht="24" customHeight="1" x14ac:dyDescent="0.2">
      <c r="A1" s="496" t="s">
        <v>367</v>
      </c>
      <c r="B1" s="496"/>
      <c r="C1" s="496"/>
      <c r="D1" s="496"/>
      <c r="E1" s="208"/>
    </row>
    <row r="2" spans="1:6" s="209" customFormat="1" ht="18" customHeight="1" x14ac:dyDescent="0.2">
      <c r="A2" s="262"/>
      <c r="B2" s="262"/>
      <c r="C2" s="262"/>
      <c r="D2" s="262"/>
      <c r="E2" s="208"/>
    </row>
    <row r="3" spans="1:6" ht="15" customHeight="1" thickBot="1" x14ac:dyDescent="0.2">
      <c r="A3" s="131" t="s">
        <v>58</v>
      </c>
      <c r="B3" s="190"/>
      <c r="C3" s="210"/>
      <c r="D3" s="189"/>
    </row>
    <row r="4" spans="1:6" s="190" customFormat="1" ht="36.75" customHeight="1" thickBot="1" x14ac:dyDescent="0.2">
      <c r="A4" s="248" t="s">
        <v>132</v>
      </c>
      <c r="B4" s="249" t="s">
        <v>133</v>
      </c>
      <c r="C4" s="250" t="s">
        <v>734</v>
      </c>
      <c r="D4" s="251" t="s">
        <v>135</v>
      </c>
      <c r="E4" s="481"/>
      <c r="F4" s="482"/>
    </row>
    <row r="5" spans="1:6" s="190" customFormat="1" ht="24" customHeight="1" thickTop="1" x14ac:dyDescent="0.15">
      <c r="A5" s="195">
        <v>1111</v>
      </c>
      <c r="B5" s="196" t="s">
        <v>214</v>
      </c>
      <c r="C5" s="252">
        <v>1900000</v>
      </c>
      <c r="D5" s="155" t="s">
        <v>136</v>
      </c>
      <c r="E5" s="263"/>
    </row>
    <row r="6" spans="1:6" s="190" customFormat="1" ht="24" customHeight="1" x14ac:dyDescent="0.15">
      <c r="A6" s="195">
        <v>1112</v>
      </c>
      <c r="B6" s="196" t="s">
        <v>215</v>
      </c>
      <c r="C6" s="252">
        <v>150000</v>
      </c>
      <c r="D6" s="155" t="s">
        <v>137</v>
      </c>
      <c r="E6" s="263"/>
    </row>
    <row r="7" spans="1:6" s="190" customFormat="1" ht="34.5" customHeight="1" x14ac:dyDescent="0.15">
      <c r="A7" s="195">
        <v>1113</v>
      </c>
      <c r="B7" s="196" t="s">
        <v>216</v>
      </c>
      <c r="C7" s="252">
        <v>250000</v>
      </c>
      <c r="D7" s="155" t="s">
        <v>368</v>
      </c>
      <c r="E7" s="263"/>
    </row>
    <row r="8" spans="1:6" s="190" customFormat="1" ht="24" customHeight="1" x14ac:dyDescent="0.15">
      <c r="A8" s="195">
        <v>1121</v>
      </c>
      <c r="B8" s="196" t="s">
        <v>217</v>
      </c>
      <c r="C8" s="252">
        <v>2800000</v>
      </c>
      <c r="D8" s="155" t="s">
        <v>138</v>
      </c>
      <c r="E8" s="263"/>
    </row>
    <row r="9" spans="1:6" s="190" customFormat="1" ht="45" customHeight="1" x14ac:dyDescent="0.15">
      <c r="A9" s="195">
        <v>1123</v>
      </c>
      <c r="B9" s="196" t="s">
        <v>218</v>
      </c>
      <c r="C9" s="252">
        <v>150000</v>
      </c>
      <c r="D9" s="155" t="s">
        <v>139</v>
      </c>
      <c r="E9" s="263"/>
    </row>
    <row r="10" spans="1:6" s="190" customFormat="1" ht="24" customHeight="1" x14ac:dyDescent="0.15">
      <c r="A10" s="195">
        <v>1211</v>
      </c>
      <c r="B10" s="196" t="s">
        <v>219</v>
      </c>
      <c r="C10" s="252">
        <v>5500000</v>
      </c>
      <c r="D10" s="155" t="s">
        <v>140</v>
      </c>
      <c r="E10" s="263"/>
    </row>
    <row r="11" spans="1:6" ht="45" customHeight="1" x14ac:dyDescent="0.15">
      <c r="A11" s="193">
        <v>1332</v>
      </c>
      <c r="B11" s="191" t="s">
        <v>220</v>
      </c>
      <c r="C11" s="252">
        <v>4000</v>
      </c>
      <c r="D11" s="155" t="s">
        <v>211</v>
      </c>
      <c r="E11" s="263"/>
    </row>
    <row r="12" spans="1:6" ht="55.5" customHeight="1" x14ac:dyDescent="0.15">
      <c r="A12" s="193">
        <v>1356</v>
      </c>
      <c r="B12" s="191" t="s">
        <v>369</v>
      </c>
      <c r="C12" s="252">
        <v>1000</v>
      </c>
      <c r="D12" s="155" t="s">
        <v>370</v>
      </c>
      <c r="E12" s="263"/>
    </row>
    <row r="13" spans="1:6" ht="45" customHeight="1" x14ac:dyDescent="0.15">
      <c r="A13" s="195">
        <v>1357</v>
      </c>
      <c r="B13" s="196" t="s">
        <v>221</v>
      </c>
      <c r="C13" s="252">
        <v>15000</v>
      </c>
      <c r="D13" s="155" t="s">
        <v>188</v>
      </c>
      <c r="E13" s="263"/>
    </row>
    <row r="14" spans="1:6" s="190" customFormat="1" ht="70.5" customHeight="1" thickBot="1" x14ac:dyDescent="0.2">
      <c r="A14" s="184">
        <v>1361</v>
      </c>
      <c r="B14" s="185" t="s">
        <v>222</v>
      </c>
      <c r="C14" s="252">
        <v>2400</v>
      </c>
      <c r="D14" s="169" t="s">
        <v>187</v>
      </c>
      <c r="E14" s="263"/>
    </row>
    <row r="15" spans="1:6" s="186" customFormat="1" ht="15.75" customHeight="1" thickTop="1" thickBot="1" x14ac:dyDescent="0.2">
      <c r="A15" s="259" t="s">
        <v>141</v>
      </c>
      <c r="B15" s="257"/>
      <c r="C15" s="253">
        <f>SUM(C5:C14)</f>
        <v>10772400</v>
      </c>
      <c r="D15" s="258"/>
      <c r="E15" s="263"/>
    </row>
    <row r="16" spans="1:6" s="186" customFormat="1" ht="15" customHeight="1" x14ac:dyDescent="0.15">
      <c r="A16" s="264"/>
      <c r="B16" s="265"/>
      <c r="C16" s="266"/>
      <c r="D16" s="267"/>
      <c r="E16" s="213"/>
    </row>
    <row r="17" spans="1:5" s="186" customFormat="1" ht="15" customHeight="1" x14ac:dyDescent="0.15">
      <c r="A17" s="264"/>
      <c r="B17" s="265"/>
      <c r="C17" s="266"/>
      <c r="D17" s="267"/>
      <c r="E17" s="213"/>
    </row>
    <row r="18" spans="1:5" s="186" customFormat="1" ht="15" customHeight="1" thickBot="1" x14ac:dyDescent="0.2">
      <c r="A18" s="131" t="s">
        <v>59</v>
      </c>
      <c r="B18" s="152"/>
      <c r="C18" s="268"/>
      <c r="D18" s="269"/>
      <c r="E18" s="213"/>
    </row>
    <row r="19" spans="1:5" ht="26.25" customHeight="1" thickBot="1" x14ac:dyDescent="0.2">
      <c r="A19" s="248" t="s">
        <v>132</v>
      </c>
      <c r="B19" s="249" t="s">
        <v>133</v>
      </c>
      <c r="C19" s="250" t="s">
        <v>134</v>
      </c>
      <c r="D19" s="251" t="s">
        <v>135</v>
      </c>
      <c r="E19" s="187"/>
    </row>
    <row r="20" spans="1:5" ht="34.5" customHeight="1" thickTop="1" x14ac:dyDescent="0.15">
      <c r="A20" s="497">
        <v>2111</v>
      </c>
      <c r="B20" s="498" t="s">
        <v>306</v>
      </c>
      <c r="C20" s="252">
        <v>2255</v>
      </c>
      <c r="D20" s="151" t="s">
        <v>142</v>
      </c>
      <c r="E20" s="263"/>
    </row>
    <row r="21" spans="1:5" s="190" customFormat="1" ht="15" customHeight="1" x14ac:dyDescent="0.15">
      <c r="A21" s="490"/>
      <c r="B21" s="487"/>
      <c r="C21" s="252">
        <v>1</v>
      </c>
      <c r="D21" s="151" t="s">
        <v>307</v>
      </c>
      <c r="E21" s="263"/>
    </row>
    <row r="22" spans="1:5" s="190" customFormat="1" ht="15" customHeight="1" x14ac:dyDescent="0.15">
      <c r="A22" s="490"/>
      <c r="B22" s="487"/>
      <c r="C22" s="252">
        <v>150</v>
      </c>
      <c r="D22" s="151" t="s">
        <v>308</v>
      </c>
      <c r="E22" s="263"/>
    </row>
    <row r="23" spans="1:5" ht="24" customHeight="1" x14ac:dyDescent="0.15">
      <c r="A23" s="490"/>
      <c r="B23" s="487"/>
      <c r="C23" s="252">
        <v>16500</v>
      </c>
      <c r="D23" s="151" t="s">
        <v>371</v>
      </c>
      <c r="E23" s="263"/>
    </row>
    <row r="24" spans="1:5" ht="15" customHeight="1" x14ac:dyDescent="0.15">
      <c r="A24" s="195">
        <v>2119</v>
      </c>
      <c r="B24" s="196" t="s">
        <v>144</v>
      </c>
      <c r="C24" s="252">
        <v>2500</v>
      </c>
      <c r="D24" s="151" t="s">
        <v>145</v>
      </c>
      <c r="E24" s="187"/>
    </row>
    <row r="25" spans="1:5" ht="34.5" customHeight="1" x14ac:dyDescent="0.25">
      <c r="A25" s="483">
        <v>2131</v>
      </c>
      <c r="B25" s="486" t="s">
        <v>223</v>
      </c>
      <c r="C25" s="252">
        <v>18</v>
      </c>
      <c r="D25" s="151" t="s">
        <v>372</v>
      </c>
      <c r="E25" s="214"/>
    </row>
    <row r="26" spans="1:5" ht="24" customHeight="1" x14ac:dyDescent="0.25">
      <c r="A26" s="485"/>
      <c r="B26" s="488"/>
      <c r="C26" s="252">
        <v>60</v>
      </c>
      <c r="D26" s="151" t="s">
        <v>373</v>
      </c>
      <c r="E26" s="214"/>
    </row>
    <row r="27" spans="1:5" ht="15" x14ac:dyDescent="0.25">
      <c r="A27" s="483">
        <v>2132</v>
      </c>
      <c r="B27" s="486" t="s">
        <v>224</v>
      </c>
      <c r="C27" s="252">
        <v>111</v>
      </c>
      <c r="D27" s="151" t="s">
        <v>208</v>
      </c>
      <c r="E27" s="270"/>
    </row>
    <row r="28" spans="1:5" ht="34.5" customHeight="1" x14ac:dyDescent="0.25">
      <c r="A28" s="484"/>
      <c r="B28" s="487"/>
      <c r="C28" s="252">
        <v>8954</v>
      </c>
      <c r="D28" s="151" t="s">
        <v>175</v>
      </c>
      <c r="E28" s="270"/>
    </row>
    <row r="29" spans="1:5" ht="34.5" customHeight="1" x14ac:dyDescent="0.25">
      <c r="A29" s="484"/>
      <c r="B29" s="487"/>
      <c r="C29" s="252">
        <v>18</v>
      </c>
      <c r="D29" s="151" t="s">
        <v>374</v>
      </c>
      <c r="E29" s="270"/>
    </row>
    <row r="30" spans="1:5" ht="34.5" customHeight="1" x14ac:dyDescent="0.25">
      <c r="A30" s="485"/>
      <c r="B30" s="488"/>
      <c r="C30" s="252">
        <v>20324</v>
      </c>
      <c r="D30" s="151" t="s">
        <v>176</v>
      </c>
      <c r="E30" s="270"/>
    </row>
    <row r="31" spans="1:5" ht="24" customHeight="1" x14ac:dyDescent="0.25">
      <c r="A31" s="194">
        <v>2133</v>
      </c>
      <c r="B31" s="192" t="s">
        <v>375</v>
      </c>
      <c r="C31" s="254">
        <v>12</v>
      </c>
      <c r="D31" s="271" t="s">
        <v>376</v>
      </c>
      <c r="E31" s="270"/>
    </row>
    <row r="32" spans="1:5" s="190" customFormat="1" ht="24" customHeight="1" x14ac:dyDescent="0.15">
      <c r="A32" s="195">
        <v>2141</v>
      </c>
      <c r="B32" s="196" t="s">
        <v>225</v>
      </c>
      <c r="C32" s="252">
        <v>80000</v>
      </c>
      <c r="D32" s="151" t="s">
        <v>146</v>
      </c>
      <c r="E32" s="187"/>
    </row>
    <row r="33" spans="1:5" ht="24" customHeight="1" x14ac:dyDescent="0.25">
      <c r="A33" s="195">
        <v>2211</v>
      </c>
      <c r="B33" s="196" t="s">
        <v>226</v>
      </c>
      <c r="C33" s="252">
        <v>5</v>
      </c>
      <c r="D33" s="151" t="s">
        <v>195</v>
      </c>
      <c r="E33" s="214"/>
    </row>
    <row r="34" spans="1:5" ht="68.25" customHeight="1" x14ac:dyDescent="0.25">
      <c r="A34" s="492">
        <v>2212</v>
      </c>
      <c r="B34" s="493" t="s">
        <v>309</v>
      </c>
      <c r="C34" s="252">
        <v>30</v>
      </c>
      <c r="D34" s="151" t="s">
        <v>147</v>
      </c>
      <c r="E34" s="214"/>
    </row>
    <row r="35" spans="1:5" ht="55.5" customHeight="1" x14ac:dyDescent="0.15">
      <c r="A35" s="492"/>
      <c r="B35" s="493"/>
      <c r="C35" s="252">
        <v>9700</v>
      </c>
      <c r="D35" s="151" t="s">
        <v>148</v>
      </c>
    </row>
    <row r="36" spans="1:5" ht="34.5" customHeight="1" x14ac:dyDescent="0.15">
      <c r="A36" s="193">
        <v>2223</v>
      </c>
      <c r="B36" s="191" t="s">
        <v>267</v>
      </c>
      <c r="C36" s="252">
        <v>372</v>
      </c>
      <c r="D36" s="151" t="s">
        <v>268</v>
      </c>
    </row>
    <row r="37" spans="1:5" ht="24" customHeight="1" x14ac:dyDescent="0.15">
      <c r="A37" s="193">
        <v>2322</v>
      </c>
      <c r="B37" s="191" t="s">
        <v>377</v>
      </c>
      <c r="C37" s="252">
        <v>50000</v>
      </c>
      <c r="D37" s="151" t="s">
        <v>378</v>
      </c>
    </row>
    <row r="38" spans="1:5" ht="45" customHeight="1" x14ac:dyDescent="0.2">
      <c r="A38" s="483">
        <v>2324</v>
      </c>
      <c r="B38" s="486" t="s">
        <v>227</v>
      </c>
      <c r="C38" s="252">
        <v>14030</v>
      </c>
      <c r="D38" s="151" t="s">
        <v>209</v>
      </c>
      <c r="E38" s="272"/>
    </row>
    <row r="39" spans="1:5" ht="24" customHeight="1" x14ac:dyDescent="0.2">
      <c r="A39" s="484"/>
      <c r="B39" s="487"/>
      <c r="C39" s="252">
        <v>15</v>
      </c>
      <c r="D39" s="151" t="s">
        <v>186</v>
      </c>
      <c r="E39" s="215"/>
    </row>
    <row r="40" spans="1:5" ht="34.5" customHeight="1" x14ac:dyDescent="0.2">
      <c r="A40" s="484"/>
      <c r="B40" s="487"/>
      <c r="C40" s="252">
        <v>650</v>
      </c>
      <c r="D40" s="151" t="s">
        <v>143</v>
      </c>
      <c r="E40" s="215"/>
    </row>
    <row r="41" spans="1:5" ht="15" customHeight="1" x14ac:dyDescent="0.2">
      <c r="A41" s="485"/>
      <c r="B41" s="488"/>
      <c r="C41" s="252">
        <v>100</v>
      </c>
      <c r="D41" s="151" t="s">
        <v>379</v>
      </c>
      <c r="E41" s="215"/>
    </row>
    <row r="42" spans="1:5" ht="15" customHeight="1" x14ac:dyDescent="0.2">
      <c r="A42" s="193">
        <v>2329</v>
      </c>
      <c r="B42" s="191" t="s">
        <v>149</v>
      </c>
      <c r="C42" s="252">
        <v>200</v>
      </c>
      <c r="D42" s="151" t="s">
        <v>380</v>
      </c>
      <c r="E42" s="215"/>
    </row>
    <row r="43" spans="1:5" ht="34.5" customHeight="1" x14ac:dyDescent="0.2">
      <c r="A43" s="193">
        <v>2412</v>
      </c>
      <c r="B43" s="191" t="s">
        <v>228</v>
      </c>
      <c r="C43" s="252">
        <v>11640</v>
      </c>
      <c r="D43" s="151" t="s">
        <v>150</v>
      </c>
      <c r="E43" s="215"/>
    </row>
    <row r="44" spans="1:5" ht="34.5" customHeight="1" x14ac:dyDescent="0.2">
      <c r="A44" s="193">
        <v>2420</v>
      </c>
      <c r="B44" s="219" t="s">
        <v>229</v>
      </c>
      <c r="C44" s="252">
        <v>199842</v>
      </c>
      <c r="D44" s="151" t="s">
        <v>310</v>
      </c>
      <c r="E44" s="215"/>
    </row>
    <row r="45" spans="1:5" ht="24" customHeight="1" x14ac:dyDescent="0.15">
      <c r="A45" s="483">
        <v>2441</v>
      </c>
      <c r="B45" s="486" t="s">
        <v>151</v>
      </c>
      <c r="C45" s="252">
        <v>3545</v>
      </c>
      <c r="D45" s="151" t="s">
        <v>150</v>
      </c>
      <c r="E45" s="273"/>
    </row>
    <row r="46" spans="1:5" ht="15" customHeight="1" x14ac:dyDescent="0.2">
      <c r="A46" s="485"/>
      <c r="B46" s="488"/>
      <c r="C46" s="252">
        <v>12805</v>
      </c>
      <c r="D46" s="151" t="s">
        <v>381</v>
      </c>
      <c r="E46" s="215"/>
    </row>
    <row r="47" spans="1:5" ht="24" customHeight="1" x14ac:dyDescent="0.2">
      <c r="A47" s="194">
        <v>2449</v>
      </c>
      <c r="B47" s="192" t="s">
        <v>382</v>
      </c>
      <c r="C47" s="252">
        <v>6672</v>
      </c>
      <c r="D47" s="151" t="s">
        <v>383</v>
      </c>
      <c r="E47" s="215"/>
    </row>
    <row r="48" spans="1:5" ht="34.5" customHeight="1" x14ac:dyDescent="0.25">
      <c r="A48" s="489">
        <v>2451</v>
      </c>
      <c r="B48" s="486" t="s">
        <v>152</v>
      </c>
      <c r="C48" s="252">
        <v>61134</v>
      </c>
      <c r="D48" s="151" t="s">
        <v>153</v>
      </c>
      <c r="E48" s="270"/>
    </row>
    <row r="49" spans="1:5" ht="45" customHeight="1" x14ac:dyDescent="0.25">
      <c r="A49" s="490"/>
      <c r="B49" s="487"/>
      <c r="C49" s="252">
        <v>102500</v>
      </c>
      <c r="D49" s="151" t="s">
        <v>311</v>
      </c>
      <c r="E49" s="270"/>
    </row>
    <row r="50" spans="1:5" ht="24" customHeight="1" x14ac:dyDescent="0.25">
      <c r="A50" s="490"/>
      <c r="B50" s="487"/>
      <c r="C50" s="252">
        <v>196000</v>
      </c>
      <c r="D50" s="151" t="s">
        <v>192</v>
      </c>
      <c r="E50" s="270"/>
    </row>
    <row r="51" spans="1:5" ht="45" customHeight="1" x14ac:dyDescent="0.25">
      <c r="A51" s="491"/>
      <c r="B51" s="488"/>
      <c r="C51" s="252">
        <v>31500</v>
      </c>
      <c r="D51" s="151" t="s">
        <v>384</v>
      </c>
      <c r="E51" s="270"/>
    </row>
    <row r="52" spans="1:5" ht="45.75" customHeight="1" thickBot="1" x14ac:dyDescent="0.2">
      <c r="A52" s="216">
        <v>2459</v>
      </c>
      <c r="B52" s="196" t="s">
        <v>312</v>
      </c>
      <c r="C52" s="252">
        <v>1400</v>
      </c>
      <c r="D52" s="151" t="s">
        <v>385</v>
      </c>
      <c r="E52" s="213"/>
    </row>
    <row r="53" spans="1:5" ht="15.75" customHeight="1" thickTop="1" thickBot="1" x14ac:dyDescent="0.2">
      <c r="A53" s="259" t="s">
        <v>154</v>
      </c>
      <c r="B53" s="257"/>
      <c r="C53" s="253">
        <f>SUM(C20:C52)</f>
        <v>833043</v>
      </c>
      <c r="D53" s="258"/>
      <c r="E53" s="213"/>
    </row>
    <row r="54" spans="1:5" ht="15" customHeight="1" x14ac:dyDescent="0.15">
      <c r="A54" s="264"/>
      <c r="B54" s="265"/>
      <c r="C54" s="274"/>
      <c r="D54" s="275"/>
      <c r="E54" s="213"/>
    </row>
    <row r="55" spans="1:5" ht="15" customHeight="1" x14ac:dyDescent="0.15">
      <c r="A55" s="276"/>
      <c r="B55" s="265"/>
      <c r="C55" s="266"/>
      <c r="D55" s="277"/>
      <c r="E55" s="213"/>
    </row>
    <row r="56" spans="1:5" ht="15" customHeight="1" thickBot="1" x14ac:dyDescent="0.2">
      <c r="A56" s="154" t="s">
        <v>60</v>
      </c>
      <c r="B56" s="278"/>
      <c r="C56" s="279"/>
      <c r="D56" s="280"/>
      <c r="E56" s="213"/>
    </row>
    <row r="57" spans="1:5" s="186" customFormat="1" ht="26.25" customHeight="1" thickBot="1" x14ac:dyDescent="0.2">
      <c r="A57" s="248" t="s">
        <v>132</v>
      </c>
      <c r="B57" s="249" t="s">
        <v>133</v>
      </c>
      <c r="C57" s="250" t="s">
        <v>134</v>
      </c>
      <c r="D57" s="251" t="s">
        <v>135</v>
      </c>
      <c r="E57" s="213"/>
    </row>
    <row r="58" spans="1:5" s="186" customFormat="1" ht="24.75" customHeight="1" thickTop="1" x14ac:dyDescent="0.15">
      <c r="A58" s="156">
        <v>3111</v>
      </c>
      <c r="B58" s="157" t="s">
        <v>230</v>
      </c>
      <c r="C58" s="252">
        <v>4522</v>
      </c>
      <c r="D58" s="153" t="s">
        <v>155</v>
      </c>
      <c r="E58" s="213"/>
    </row>
    <row r="59" spans="1:5" s="186" customFormat="1" ht="24.75" customHeight="1" thickBot="1" x14ac:dyDescent="0.2">
      <c r="A59" s="195">
        <v>3112</v>
      </c>
      <c r="B59" s="196" t="s">
        <v>231</v>
      </c>
      <c r="C59" s="252">
        <v>1081</v>
      </c>
      <c r="D59" s="151" t="s">
        <v>210</v>
      </c>
      <c r="E59" s="213"/>
    </row>
    <row r="60" spans="1:5" ht="15.75" customHeight="1" thickTop="1" thickBot="1" x14ac:dyDescent="0.2">
      <c r="A60" s="259" t="s">
        <v>156</v>
      </c>
      <c r="B60" s="257"/>
      <c r="C60" s="253">
        <f>SUM(C58:C59)</f>
        <v>5603</v>
      </c>
      <c r="D60" s="258"/>
      <c r="E60" s="213"/>
    </row>
    <row r="61" spans="1:5" ht="15.75" customHeight="1" x14ac:dyDescent="0.15">
      <c r="A61" s="264"/>
      <c r="B61" s="265"/>
      <c r="C61" s="266"/>
      <c r="D61" s="267"/>
      <c r="E61" s="213"/>
    </row>
    <row r="62" spans="1:5" ht="15.75" customHeight="1" x14ac:dyDescent="0.15">
      <c r="A62" s="276"/>
      <c r="B62" s="265"/>
      <c r="C62" s="212"/>
      <c r="D62" s="212"/>
      <c r="E62" s="212"/>
    </row>
    <row r="63" spans="1:5" ht="15" customHeight="1" thickBot="1" x14ac:dyDescent="0.2">
      <c r="A63" s="131" t="s">
        <v>61</v>
      </c>
      <c r="B63" s="152"/>
      <c r="C63" s="268"/>
      <c r="D63" s="189"/>
      <c r="E63" s="217"/>
    </row>
    <row r="64" spans="1:5" ht="26.25" customHeight="1" thickBot="1" x14ac:dyDescent="0.2">
      <c r="A64" s="248" t="s">
        <v>132</v>
      </c>
      <c r="B64" s="249" t="s">
        <v>133</v>
      </c>
      <c r="C64" s="250" t="s">
        <v>134</v>
      </c>
      <c r="D64" s="251" t="s">
        <v>135</v>
      </c>
      <c r="E64" s="218"/>
    </row>
    <row r="65" spans="1:5" ht="26.25" customHeight="1" thickTop="1" x14ac:dyDescent="0.15">
      <c r="A65" s="261">
        <v>4111</v>
      </c>
      <c r="B65" s="219" t="s">
        <v>313</v>
      </c>
      <c r="C65" s="252">
        <v>500</v>
      </c>
      <c r="D65" s="153" t="s">
        <v>320</v>
      </c>
      <c r="E65" s="218"/>
    </row>
    <row r="66" spans="1:5" s="186" customFormat="1" ht="34.5" customHeight="1" x14ac:dyDescent="0.25">
      <c r="A66" s="193">
        <v>4112</v>
      </c>
      <c r="B66" s="219" t="s">
        <v>157</v>
      </c>
      <c r="C66" s="252">
        <v>230958</v>
      </c>
      <c r="D66" s="171" t="s">
        <v>158</v>
      </c>
      <c r="E66"/>
    </row>
    <row r="67" spans="1:5" ht="15" x14ac:dyDescent="0.25">
      <c r="A67" s="483">
        <v>4116</v>
      </c>
      <c r="B67" s="494" t="s">
        <v>159</v>
      </c>
      <c r="C67" s="252">
        <v>438424</v>
      </c>
      <c r="D67" s="171" t="s">
        <v>160</v>
      </c>
      <c r="E67"/>
    </row>
    <row r="68" spans="1:5" ht="15" x14ac:dyDescent="0.25">
      <c r="A68" s="484"/>
      <c r="B68" s="495"/>
      <c r="C68" s="252">
        <v>3013378</v>
      </c>
      <c r="D68" s="171" t="s">
        <v>386</v>
      </c>
      <c r="E68"/>
    </row>
    <row r="69" spans="1:5" ht="15" x14ac:dyDescent="0.25">
      <c r="A69" s="484"/>
      <c r="B69" s="495"/>
      <c r="C69" s="252">
        <v>22678579</v>
      </c>
      <c r="D69" s="171" t="s">
        <v>317</v>
      </c>
      <c r="E69"/>
    </row>
    <row r="70" spans="1:5" ht="24" customHeight="1" x14ac:dyDescent="0.25">
      <c r="A70" s="484"/>
      <c r="B70" s="495"/>
      <c r="C70" s="252">
        <v>4000</v>
      </c>
      <c r="D70" s="171" t="s">
        <v>269</v>
      </c>
      <c r="E70"/>
    </row>
    <row r="71" spans="1:5" ht="15" x14ac:dyDescent="0.25">
      <c r="A71" s="484"/>
      <c r="B71" s="495"/>
      <c r="C71" s="252">
        <v>5333</v>
      </c>
      <c r="D71" s="171" t="s">
        <v>318</v>
      </c>
      <c r="E71" s="281"/>
    </row>
    <row r="72" spans="1:5" ht="15" x14ac:dyDescent="0.25">
      <c r="A72" s="484"/>
      <c r="B72" s="495"/>
      <c r="C72" s="252">
        <v>1926</v>
      </c>
      <c r="D72" s="171" t="s">
        <v>314</v>
      </c>
      <c r="E72"/>
    </row>
    <row r="73" spans="1:5" ht="24" customHeight="1" x14ac:dyDescent="0.25">
      <c r="A73" s="484"/>
      <c r="B73" s="495"/>
      <c r="C73" s="252">
        <v>2500</v>
      </c>
      <c r="D73" s="171" t="s">
        <v>316</v>
      </c>
      <c r="E73"/>
    </row>
    <row r="74" spans="1:5" ht="24" customHeight="1" x14ac:dyDescent="0.25">
      <c r="A74" s="484"/>
      <c r="B74" s="495"/>
      <c r="C74" s="252">
        <v>23385</v>
      </c>
      <c r="D74" s="171" t="s">
        <v>315</v>
      </c>
      <c r="E74"/>
    </row>
    <row r="75" spans="1:5" ht="15" x14ac:dyDescent="0.25">
      <c r="A75" s="484"/>
      <c r="B75" s="495"/>
      <c r="C75" s="252">
        <v>4410</v>
      </c>
      <c r="D75" s="171" t="s">
        <v>387</v>
      </c>
      <c r="E75"/>
    </row>
    <row r="76" spans="1:5" ht="24" customHeight="1" x14ac:dyDescent="0.25">
      <c r="A76" s="484"/>
      <c r="B76" s="495"/>
      <c r="C76" s="252">
        <v>548</v>
      </c>
      <c r="D76" s="171" t="s">
        <v>319</v>
      </c>
      <c r="E76"/>
    </row>
    <row r="77" spans="1:5" ht="15" x14ac:dyDescent="0.25">
      <c r="A77" s="484"/>
      <c r="B77" s="495"/>
      <c r="C77" s="252">
        <v>26000</v>
      </c>
      <c r="D77" s="171" t="s">
        <v>388</v>
      </c>
      <c r="E77"/>
    </row>
    <row r="78" spans="1:5" ht="15" x14ac:dyDescent="0.25">
      <c r="A78" s="260">
        <v>4121</v>
      </c>
      <c r="B78" s="219" t="s">
        <v>161</v>
      </c>
      <c r="C78" s="252">
        <v>86161</v>
      </c>
      <c r="D78" s="171" t="s">
        <v>162</v>
      </c>
      <c r="E78"/>
    </row>
    <row r="79" spans="1:5" ht="15" x14ac:dyDescent="0.25">
      <c r="A79" s="489">
        <v>4122</v>
      </c>
      <c r="B79" s="494" t="s">
        <v>167</v>
      </c>
      <c r="C79" s="252">
        <v>30166</v>
      </c>
      <c r="D79" s="171" t="s">
        <v>160</v>
      </c>
      <c r="E79"/>
    </row>
    <row r="80" spans="1:5" ht="15" x14ac:dyDescent="0.25">
      <c r="A80" s="491"/>
      <c r="B80" s="501"/>
      <c r="C80" s="252">
        <v>22560</v>
      </c>
      <c r="D80" s="171" t="s">
        <v>162</v>
      </c>
      <c r="E80"/>
    </row>
    <row r="81" spans="1:5" ht="15" x14ac:dyDescent="0.25">
      <c r="A81" s="489">
        <v>4152</v>
      </c>
      <c r="B81" s="486" t="s">
        <v>232</v>
      </c>
      <c r="C81" s="252">
        <v>9075</v>
      </c>
      <c r="D81" s="171" t="s">
        <v>389</v>
      </c>
      <c r="E81"/>
    </row>
    <row r="82" spans="1:5" ht="34.5" customHeight="1" x14ac:dyDescent="0.25">
      <c r="A82" s="490"/>
      <c r="B82" s="487"/>
      <c r="C82" s="252">
        <v>1000</v>
      </c>
      <c r="D82" s="171" t="s">
        <v>484</v>
      </c>
      <c r="E82"/>
    </row>
    <row r="83" spans="1:5" ht="34.5" customHeight="1" x14ac:dyDescent="0.25">
      <c r="A83" s="491"/>
      <c r="B83" s="488"/>
      <c r="C83" s="252">
        <v>800</v>
      </c>
      <c r="D83" s="171" t="s">
        <v>483</v>
      </c>
      <c r="E83"/>
    </row>
    <row r="84" spans="1:5" ht="15" customHeight="1" x14ac:dyDescent="0.25">
      <c r="A84" s="489">
        <v>4216</v>
      </c>
      <c r="B84" s="486" t="s">
        <v>163</v>
      </c>
      <c r="C84" s="252">
        <v>275701</v>
      </c>
      <c r="D84" s="171" t="s">
        <v>249</v>
      </c>
      <c r="E84"/>
    </row>
    <row r="85" spans="1:5" ht="15" x14ac:dyDescent="0.25">
      <c r="A85" s="490"/>
      <c r="B85" s="487"/>
      <c r="C85" s="252">
        <v>25500</v>
      </c>
      <c r="D85" s="171" t="s">
        <v>250</v>
      </c>
      <c r="E85"/>
    </row>
    <row r="86" spans="1:5" ht="15" x14ac:dyDescent="0.25">
      <c r="A86" s="490"/>
      <c r="B86" s="487"/>
      <c r="C86" s="252">
        <v>4254</v>
      </c>
      <c r="D86" s="171" t="s">
        <v>390</v>
      </c>
      <c r="E86"/>
    </row>
    <row r="87" spans="1:5" ht="15" x14ac:dyDescent="0.25">
      <c r="A87" s="490"/>
      <c r="B87" s="487"/>
      <c r="C87" s="252">
        <v>2970</v>
      </c>
      <c r="D87" s="170" t="s">
        <v>391</v>
      </c>
      <c r="E87"/>
    </row>
    <row r="88" spans="1:5" ht="15" x14ac:dyDescent="0.25">
      <c r="A88" s="490"/>
      <c r="B88" s="487"/>
      <c r="C88" s="252">
        <v>25500</v>
      </c>
      <c r="D88" s="170" t="s">
        <v>205</v>
      </c>
      <c r="E88"/>
    </row>
    <row r="89" spans="1:5" ht="15" x14ac:dyDescent="0.25">
      <c r="A89" s="490"/>
      <c r="B89" s="487"/>
      <c r="C89" s="252">
        <v>232</v>
      </c>
      <c r="D89" s="170" t="s">
        <v>392</v>
      </c>
      <c r="E89"/>
    </row>
    <row r="90" spans="1:5" ht="15" x14ac:dyDescent="0.25">
      <c r="A90" s="490"/>
      <c r="B90" s="487"/>
      <c r="C90" s="252">
        <v>2064</v>
      </c>
      <c r="D90" s="171" t="s">
        <v>393</v>
      </c>
      <c r="E90"/>
    </row>
    <row r="91" spans="1:5" ht="15" x14ac:dyDescent="0.25">
      <c r="A91" s="490"/>
      <c r="B91" s="487"/>
      <c r="C91" s="252">
        <v>340</v>
      </c>
      <c r="D91" s="171" t="s">
        <v>394</v>
      </c>
      <c r="E91"/>
    </row>
    <row r="92" spans="1:5" ht="15" x14ac:dyDescent="0.25">
      <c r="A92" s="490"/>
      <c r="B92" s="487"/>
      <c r="C92" s="252">
        <v>780</v>
      </c>
      <c r="D92" s="171" t="s">
        <v>395</v>
      </c>
      <c r="E92"/>
    </row>
    <row r="93" spans="1:5" ht="15" x14ac:dyDescent="0.25">
      <c r="A93" s="490"/>
      <c r="B93" s="487"/>
      <c r="C93" s="252">
        <v>1107</v>
      </c>
      <c r="D93" s="171" t="s">
        <v>396</v>
      </c>
      <c r="E93"/>
    </row>
    <row r="94" spans="1:5" ht="15" x14ac:dyDescent="0.25">
      <c r="A94" s="490"/>
      <c r="B94" s="487"/>
      <c r="C94" s="252">
        <v>232</v>
      </c>
      <c r="D94" s="171" t="s">
        <v>397</v>
      </c>
      <c r="E94"/>
    </row>
    <row r="95" spans="1:5" ht="15" x14ac:dyDescent="0.25">
      <c r="A95" s="490"/>
      <c r="B95" s="487"/>
      <c r="C95" s="252">
        <v>3524</v>
      </c>
      <c r="D95" s="171" t="s">
        <v>398</v>
      </c>
      <c r="E95"/>
    </row>
    <row r="96" spans="1:5" ht="15" x14ac:dyDescent="0.25">
      <c r="A96" s="490"/>
      <c r="B96" s="487"/>
      <c r="C96" s="252">
        <v>4056</v>
      </c>
      <c r="D96" s="171" t="s">
        <v>399</v>
      </c>
      <c r="E96"/>
    </row>
    <row r="97" spans="1:5" ht="15" x14ac:dyDescent="0.25">
      <c r="A97" s="490"/>
      <c r="B97" s="487"/>
      <c r="C97" s="252">
        <v>1251</v>
      </c>
      <c r="D97" s="171" t="s">
        <v>400</v>
      </c>
      <c r="E97"/>
    </row>
    <row r="98" spans="1:5" ht="15" x14ac:dyDescent="0.25">
      <c r="A98" s="490"/>
      <c r="B98" s="487"/>
      <c r="C98" s="252">
        <v>2502</v>
      </c>
      <c r="D98" s="171" t="s">
        <v>401</v>
      </c>
      <c r="E98"/>
    </row>
    <row r="99" spans="1:5" ht="15" x14ac:dyDescent="0.25">
      <c r="A99" s="490"/>
      <c r="B99" s="487"/>
      <c r="C99" s="252">
        <v>1071</v>
      </c>
      <c r="D99" s="170" t="s">
        <v>402</v>
      </c>
      <c r="E99"/>
    </row>
    <row r="100" spans="1:5" ht="15" x14ac:dyDescent="0.25">
      <c r="A100" s="490"/>
      <c r="B100" s="487"/>
      <c r="C100" s="254">
        <v>4302</v>
      </c>
      <c r="D100" s="282" t="s">
        <v>403</v>
      </c>
      <c r="E100"/>
    </row>
    <row r="101" spans="1:5" ht="15" x14ac:dyDescent="0.25">
      <c r="A101" s="490"/>
      <c r="B101" s="487"/>
      <c r="C101" s="252">
        <v>4734</v>
      </c>
      <c r="D101" s="171" t="s">
        <v>404</v>
      </c>
      <c r="E101"/>
    </row>
    <row r="102" spans="1:5" ht="15" x14ac:dyDescent="0.25">
      <c r="A102" s="490"/>
      <c r="B102" s="487"/>
      <c r="C102" s="252">
        <v>6894</v>
      </c>
      <c r="D102" s="171" t="s">
        <v>405</v>
      </c>
      <c r="E102"/>
    </row>
    <row r="103" spans="1:5" ht="15" x14ac:dyDescent="0.25">
      <c r="A103" s="490"/>
      <c r="B103" s="487"/>
      <c r="C103" s="252">
        <v>4788</v>
      </c>
      <c r="D103" s="171" t="s">
        <v>406</v>
      </c>
      <c r="E103"/>
    </row>
    <row r="104" spans="1:5" ht="15" x14ac:dyDescent="0.25">
      <c r="A104" s="490"/>
      <c r="B104" s="487"/>
      <c r="C104" s="252">
        <v>3897</v>
      </c>
      <c r="D104" s="171" t="s">
        <v>407</v>
      </c>
      <c r="E104"/>
    </row>
    <row r="105" spans="1:5" ht="15" x14ac:dyDescent="0.25">
      <c r="A105" s="490"/>
      <c r="B105" s="487"/>
      <c r="C105" s="252">
        <v>1324</v>
      </c>
      <c r="D105" s="171" t="s">
        <v>408</v>
      </c>
      <c r="E105"/>
    </row>
    <row r="106" spans="1:5" ht="15" x14ac:dyDescent="0.25">
      <c r="A106" s="490"/>
      <c r="B106" s="487"/>
      <c r="C106" s="252">
        <v>1236</v>
      </c>
      <c r="D106" s="171" t="s">
        <v>409</v>
      </c>
      <c r="E106"/>
    </row>
    <row r="107" spans="1:5" ht="15" x14ac:dyDescent="0.25">
      <c r="A107" s="490"/>
      <c r="B107" s="487"/>
      <c r="C107" s="252">
        <v>1530</v>
      </c>
      <c r="D107" s="171" t="s">
        <v>410</v>
      </c>
      <c r="E107"/>
    </row>
    <row r="108" spans="1:5" ht="24" customHeight="1" x14ac:dyDescent="0.25">
      <c r="A108" s="490"/>
      <c r="B108" s="487"/>
      <c r="C108" s="252">
        <v>234</v>
      </c>
      <c r="D108" s="171" t="s">
        <v>411</v>
      </c>
      <c r="E108"/>
    </row>
    <row r="109" spans="1:5" ht="24" customHeight="1" x14ac:dyDescent="0.25">
      <c r="A109" s="490"/>
      <c r="B109" s="487"/>
      <c r="C109" s="252">
        <v>564</v>
      </c>
      <c r="D109" s="171" t="s">
        <v>412</v>
      </c>
      <c r="E109"/>
    </row>
    <row r="110" spans="1:5" ht="24" customHeight="1" x14ac:dyDescent="0.25">
      <c r="A110" s="490"/>
      <c r="B110" s="487"/>
      <c r="C110" s="252">
        <v>744</v>
      </c>
      <c r="D110" s="171" t="s">
        <v>413</v>
      </c>
      <c r="E110"/>
    </row>
    <row r="111" spans="1:5" ht="15" x14ac:dyDescent="0.25">
      <c r="A111" s="490"/>
      <c r="B111" s="487"/>
      <c r="C111" s="252">
        <v>1875</v>
      </c>
      <c r="D111" s="171" t="s">
        <v>414</v>
      </c>
      <c r="E111"/>
    </row>
    <row r="112" spans="1:5" ht="15" x14ac:dyDescent="0.25">
      <c r="A112" s="490"/>
      <c r="B112" s="487"/>
      <c r="C112" s="252">
        <v>1875</v>
      </c>
      <c r="D112" s="171" t="s">
        <v>415</v>
      </c>
      <c r="E112"/>
    </row>
    <row r="113" spans="1:5" ht="15" x14ac:dyDescent="0.25">
      <c r="A113" s="490"/>
      <c r="B113" s="487"/>
      <c r="C113" s="252">
        <v>25685</v>
      </c>
      <c r="D113" s="171" t="s">
        <v>314</v>
      </c>
      <c r="E113"/>
    </row>
    <row r="114" spans="1:5" ht="15" x14ac:dyDescent="0.25">
      <c r="A114" s="490"/>
      <c r="B114" s="487"/>
      <c r="C114" s="252">
        <v>65000</v>
      </c>
      <c r="D114" s="171" t="s">
        <v>248</v>
      </c>
      <c r="E114"/>
    </row>
    <row r="115" spans="1:5" ht="15" x14ac:dyDescent="0.25">
      <c r="A115" s="490"/>
      <c r="B115" s="487"/>
      <c r="C115" s="252">
        <v>8925</v>
      </c>
      <c r="D115" s="171" t="s">
        <v>303</v>
      </c>
      <c r="E115"/>
    </row>
    <row r="116" spans="1:5" ht="24" customHeight="1" x14ac:dyDescent="0.25">
      <c r="A116" s="490"/>
      <c r="B116" s="487"/>
      <c r="C116" s="252">
        <v>26400</v>
      </c>
      <c r="D116" s="171" t="s">
        <v>259</v>
      </c>
      <c r="E116"/>
    </row>
    <row r="117" spans="1:5" ht="15" x14ac:dyDescent="0.25">
      <c r="A117" s="490"/>
      <c r="B117" s="487"/>
      <c r="C117" s="252">
        <v>19669</v>
      </c>
      <c r="D117" s="171" t="s">
        <v>247</v>
      </c>
      <c r="E117"/>
    </row>
    <row r="118" spans="1:5" ht="24" customHeight="1" x14ac:dyDescent="0.25">
      <c r="A118" s="490"/>
      <c r="B118" s="487"/>
      <c r="C118" s="252">
        <v>4958</v>
      </c>
      <c r="D118" s="171" t="s">
        <v>241</v>
      </c>
      <c r="E118"/>
    </row>
    <row r="119" spans="1:5" ht="24" customHeight="1" x14ac:dyDescent="0.25">
      <c r="A119" s="490"/>
      <c r="B119" s="487"/>
      <c r="C119" s="252">
        <v>52676</v>
      </c>
      <c r="D119" s="171" t="s">
        <v>242</v>
      </c>
      <c r="E119"/>
    </row>
    <row r="120" spans="1:5" ht="15" x14ac:dyDescent="0.25">
      <c r="A120" s="490"/>
      <c r="B120" s="487"/>
      <c r="C120" s="252">
        <v>16125</v>
      </c>
      <c r="D120" s="171" t="s">
        <v>282</v>
      </c>
      <c r="E120"/>
    </row>
    <row r="121" spans="1:5" ht="15" x14ac:dyDescent="0.25">
      <c r="A121" s="490"/>
      <c r="B121" s="487"/>
      <c r="C121" s="252">
        <v>28095</v>
      </c>
      <c r="D121" s="171" t="s">
        <v>283</v>
      </c>
      <c r="E121"/>
    </row>
    <row r="122" spans="1:5" ht="15" x14ac:dyDescent="0.25">
      <c r="A122" s="490"/>
      <c r="B122" s="487"/>
      <c r="C122" s="252">
        <v>47090</v>
      </c>
      <c r="D122" s="171" t="s">
        <v>284</v>
      </c>
      <c r="E122"/>
    </row>
    <row r="123" spans="1:5" ht="24" customHeight="1" x14ac:dyDescent="0.25">
      <c r="A123" s="490"/>
      <c r="B123" s="487"/>
      <c r="C123" s="252">
        <v>20000</v>
      </c>
      <c r="D123" s="171" t="s">
        <v>185</v>
      </c>
      <c r="E123"/>
    </row>
    <row r="124" spans="1:5" ht="15" x14ac:dyDescent="0.25">
      <c r="A124" s="490"/>
      <c r="B124" s="487"/>
      <c r="C124" s="252">
        <v>4250</v>
      </c>
      <c r="D124" s="171" t="s">
        <v>253</v>
      </c>
      <c r="E124"/>
    </row>
    <row r="125" spans="1:5" ht="15" x14ac:dyDescent="0.25">
      <c r="A125" s="490"/>
      <c r="B125" s="487"/>
      <c r="C125" s="252">
        <v>2500</v>
      </c>
      <c r="D125" s="171" t="s">
        <v>416</v>
      </c>
      <c r="E125"/>
    </row>
    <row r="126" spans="1:5" ht="15" x14ac:dyDescent="0.25">
      <c r="A126" s="490"/>
      <c r="B126" s="487"/>
      <c r="C126" s="252">
        <v>1500</v>
      </c>
      <c r="D126" s="171" t="s">
        <v>417</v>
      </c>
      <c r="E126"/>
    </row>
    <row r="127" spans="1:5" ht="15" x14ac:dyDescent="0.25">
      <c r="A127" s="490"/>
      <c r="B127" s="487"/>
      <c r="C127" s="252">
        <v>16546</v>
      </c>
      <c r="D127" s="171" t="s">
        <v>285</v>
      </c>
      <c r="E127"/>
    </row>
    <row r="128" spans="1:5" ht="15" customHeight="1" x14ac:dyDescent="0.25">
      <c r="A128" s="490"/>
      <c r="B128" s="487"/>
      <c r="C128" s="252">
        <v>46260</v>
      </c>
      <c r="D128" s="171" t="s">
        <v>262</v>
      </c>
      <c r="E128"/>
    </row>
    <row r="129" spans="1:5" ht="15" x14ac:dyDescent="0.25">
      <c r="A129" s="490"/>
      <c r="B129" s="487"/>
      <c r="C129" s="252">
        <v>28050</v>
      </c>
      <c r="D129" s="171" t="s">
        <v>288</v>
      </c>
      <c r="E129"/>
    </row>
    <row r="130" spans="1:5" ht="15" x14ac:dyDescent="0.25">
      <c r="A130" s="490"/>
      <c r="B130" s="487"/>
      <c r="C130" s="252">
        <v>22950</v>
      </c>
      <c r="D130" s="171" t="s">
        <v>244</v>
      </c>
      <c r="E130"/>
    </row>
    <row r="131" spans="1:5" ht="15" x14ac:dyDescent="0.25">
      <c r="A131" s="490"/>
      <c r="B131" s="487"/>
      <c r="C131" s="252">
        <v>8500</v>
      </c>
      <c r="D131" s="171" t="s">
        <v>245</v>
      </c>
      <c r="E131"/>
    </row>
    <row r="132" spans="1:5" ht="15" x14ac:dyDescent="0.25">
      <c r="A132" s="490"/>
      <c r="B132" s="487"/>
      <c r="C132" s="252">
        <v>111570</v>
      </c>
      <c r="D132" s="171" t="s">
        <v>322</v>
      </c>
      <c r="E132"/>
    </row>
    <row r="133" spans="1:5" ht="15" x14ac:dyDescent="0.25">
      <c r="A133" s="490"/>
      <c r="B133" s="487"/>
      <c r="C133" s="252">
        <v>82000</v>
      </c>
      <c r="D133" s="171" t="s">
        <v>263</v>
      </c>
      <c r="E133"/>
    </row>
    <row r="134" spans="1:5" ht="15" x14ac:dyDescent="0.25">
      <c r="A134" s="490"/>
      <c r="B134" s="487"/>
      <c r="C134" s="252">
        <v>12775</v>
      </c>
      <c r="D134" s="170" t="s">
        <v>418</v>
      </c>
      <c r="E134"/>
    </row>
    <row r="135" spans="1:5" ht="15" x14ac:dyDescent="0.25">
      <c r="A135" s="490"/>
      <c r="B135" s="487"/>
      <c r="C135" s="252">
        <v>83500</v>
      </c>
      <c r="D135" s="170" t="s">
        <v>388</v>
      </c>
      <c r="E135"/>
    </row>
    <row r="136" spans="1:5" ht="15" x14ac:dyDescent="0.25">
      <c r="A136" s="490"/>
      <c r="B136" s="487"/>
      <c r="C136" s="252">
        <v>26130</v>
      </c>
      <c r="D136" s="170" t="s">
        <v>301</v>
      </c>
      <c r="E136"/>
    </row>
    <row r="137" spans="1:5" ht="34.5" customHeight="1" x14ac:dyDescent="0.25">
      <c r="A137" s="490"/>
      <c r="B137" s="487"/>
      <c r="C137" s="252">
        <v>60000</v>
      </c>
      <c r="D137" s="171" t="s">
        <v>419</v>
      </c>
      <c r="E137"/>
    </row>
    <row r="138" spans="1:5" ht="15" x14ac:dyDescent="0.25">
      <c r="A138" s="490"/>
      <c r="B138" s="487"/>
      <c r="C138" s="252">
        <v>35960</v>
      </c>
      <c r="D138" s="171" t="s">
        <v>264</v>
      </c>
      <c r="E138"/>
    </row>
    <row r="139" spans="1:5" ht="15" x14ac:dyDescent="0.25">
      <c r="A139" s="490"/>
      <c r="B139" s="487"/>
      <c r="C139" s="252">
        <v>15000</v>
      </c>
      <c r="D139" s="171" t="s">
        <v>304</v>
      </c>
      <c r="E139"/>
    </row>
    <row r="140" spans="1:5" ht="15" x14ac:dyDescent="0.25">
      <c r="A140" s="491"/>
      <c r="B140" s="488"/>
      <c r="C140" s="252">
        <v>22055</v>
      </c>
      <c r="D140" s="171" t="s">
        <v>204</v>
      </c>
      <c r="E140"/>
    </row>
    <row r="141" spans="1:5" ht="15" x14ac:dyDescent="0.25">
      <c r="A141" s="489">
        <v>4221</v>
      </c>
      <c r="B141" s="494" t="s">
        <v>164</v>
      </c>
      <c r="C141" s="252">
        <v>100000</v>
      </c>
      <c r="D141" s="171" t="s">
        <v>249</v>
      </c>
      <c r="E141"/>
    </row>
    <row r="142" spans="1:5" ht="15" x14ac:dyDescent="0.25">
      <c r="A142" s="490"/>
      <c r="B142" s="495"/>
      <c r="C142" s="252">
        <v>2200</v>
      </c>
      <c r="D142" s="171" t="s">
        <v>265</v>
      </c>
      <c r="E142"/>
    </row>
    <row r="143" spans="1:5" ht="15" x14ac:dyDescent="0.25">
      <c r="A143" s="490"/>
      <c r="B143" s="495"/>
      <c r="C143" s="252">
        <v>1500</v>
      </c>
      <c r="D143" s="171" t="s">
        <v>314</v>
      </c>
      <c r="E143"/>
    </row>
    <row r="144" spans="1:5" ht="35.25" customHeight="1" thickBot="1" x14ac:dyDescent="0.3">
      <c r="A144" s="490"/>
      <c r="B144" s="495"/>
      <c r="C144" s="252">
        <v>7000</v>
      </c>
      <c r="D144" s="171" t="s">
        <v>419</v>
      </c>
      <c r="E144"/>
    </row>
    <row r="145" spans="1:5" ht="15.75" customHeight="1" thickTop="1" thickBot="1" x14ac:dyDescent="0.2">
      <c r="A145" s="259" t="s">
        <v>165</v>
      </c>
      <c r="B145" s="257"/>
      <c r="C145" s="253">
        <f>SUM(C65:C144)</f>
        <v>27969653</v>
      </c>
      <c r="D145" s="258"/>
      <c r="E145" s="220"/>
    </row>
    <row r="146" spans="1:5" ht="13.5" thickBot="1" x14ac:dyDescent="0.25">
      <c r="A146" s="264"/>
      <c r="B146" s="283"/>
      <c r="C146" s="284"/>
      <c r="D146" s="267"/>
      <c r="E146" s="220"/>
    </row>
    <row r="147" spans="1:5" ht="16.5" customHeight="1" thickBot="1" x14ac:dyDescent="0.2">
      <c r="A147" s="499" t="s">
        <v>166</v>
      </c>
      <c r="B147" s="500"/>
      <c r="C147" s="255">
        <f>SUM(C145,C60,C53,C15)</f>
        <v>39580699</v>
      </c>
      <c r="D147" s="256"/>
      <c r="E147" s="220"/>
    </row>
    <row r="148" spans="1:5" x14ac:dyDescent="0.15">
      <c r="A148" s="265"/>
      <c r="B148" s="265"/>
      <c r="C148" s="285"/>
      <c r="D148" s="277"/>
      <c r="E148" s="220"/>
    </row>
    <row r="149" spans="1:5" x14ac:dyDescent="0.15">
      <c r="E149" s="220"/>
    </row>
    <row r="150" spans="1:5" ht="24" customHeight="1" x14ac:dyDescent="0.15">
      <c r="E150" s="220"/>
    </row>
    <row r="151" spans="1:5" x14ac:dyDescent="0.15">
      <c r="E151" s="220"/>
    </row>
    <row r="152" spans="1:5" x14ac:dyDescent="0.15">
      <c r="E152" s="220"/>
    </row>
    <row r="153" spans="1:5" x14ac:dyDescent="0.15">
      <c r="E153" s="217"/>
    </row>
    <row r="154" spans="1:5" ht="24" customHeight="1" x14ac:dyDescent="0.15">
      <c r="E154" s="217"/>
    </row>
    <row r="155" spans="1:5" x14ac:dyDescent="0.15">
      <c r="E155" s="217"/>
    </row>
    <row r="156" spans="1:5" x14ac:dyDescent="0.15">
      <c r="E156" s="218"/>
    </row>
    <row r="157" spans="1:5" ht="15.75" customHeight="1" x14ac:dyDescent="0.15">
      <c r="E157" s="218"/>
    </row>
    <row r="158" spans="1:5" ht="15.75" customHeight="1" x14ac:dyDescent="0.15">
      <c r="E158" s="218"/>
    </row>
    <row r="159" spans="1:5" s="186" customFormat="1" ht="16.5" customHeight="1" x14ac:dyDescent="0.15">
      <c r="A159" s="222"/>
      <c r="B159" s="212"/>
      <c r="C159" s="221"/>
      <c r="D159" s="188"/>
      <c r="E159" s="211"/>
    </row>
    <row r="160" spans="1:5" s="186" customFormat="1" ht="15.75" customHeight="1" x14ac:dyDescent="0.15">
      <c r="A160" s="222"/>
      <c r="B160" s="212"/>
      <c r="C160" s="221"/>
      <c r="D160" s="188"/>
      <c r="E160" s="211"/>
    </row>
  </sheetData>
  <mergeCells count="27">
    <mergeCell ref="A147:B147"/>
    <mergeCell ref="B79:B80"/>
    <mergeCell ref="A81:A83"/>
    <mergeCell ref="B81:B83"/>
    <mergeCell ref="A141:A144"/>
    <mergeCell ref="B141:B144"/>
    <mergeCell ref="A1:D1"/>
    <mergeCell ref="A20:A23"/>
    <mergeCell ref="B20:B23"/>
    <mergeCell ref="A25:A26"/>
    <mergeCell ref="B25:B26"/>
    <mergeCell ref="E4:F4"/>
    <mergeCell ref="A27:A30"/>
    <mergeCell ref="B27:B30"/>
    <mergeCell ref="A84:A140"/>
    <mergeCell ref="B84:B140"/>
    <mergeCell ref="A34:A35"/>
    <mergeCell ref="B34:B35"/>
    <mergeCell ref="A38:A41"/>
    <mergeCell ref="B38:B41"/>
    <mergeCell ref="A45:A46"/>
    <mergeCell ref="B45:B46"/>
    <mergeCell ref="A48:A51"/>
    <mergeCell ref="B48:B51"/>
    <mergeCell ref="A67:A77"/>
    <mergeCell ref="B67:B77"/>
    <mergeCell ref="A79:A80"/>
  </mergeCells>
  <pageMargins left="0.39370078740157483" right="0.39370078740157483" top="0.98425196850393704" bottom="0.39370078740157483" header="0.51181102362204722" footer="0.11811023622047245"/>
  <pageSetup paperSize="9" scale="93" firstPageNumber="25" fitToHeight="0" orientation="portrait" useFirstPageNumber="1" r:id="rId1"/>
  <headerFooter scaleWithDoc="0">
    <oddHeader>&amp;L&amp;"Tahoma,Kurzíva"&amp;9Návrh rozpočtu na rok 2025
Příloha č. 9&amp;R&amp;"Tahoma,Kurzíva"&amp;9Přehled příjmů</oddHeader>
    <oddFooter>&amp;C&amp;"Tahoma,Obyčejné"&amp;10&amp;P</oddFooter>
  </headerFooter>
  <rowBreaks count="4" manualBreakCount="4">
    <brk id="26" max="3" man="1"/>
    <brk id="50" max="3" man="1"/>
    <brk id="87" max="3" man="1"/>
    <brk id="134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5"/>
  </sheetPr>
  <dimension ref="A2:Z32"/>
  <sheetViews>
    <sheetView workbookViewId="0">
      <selection activeCell="R33" sqref="R33"/>
    </sheetView>
  </sheetViews>
  <sheetFormatPr defaultColWidth="10.28515625" defaultRowHeight="15.75" outlineLevelRow="1" x14ac:dyDescent="0.25"/>
  <cols>
    <col min="1" max="1" width="21" style="44" customWidth="1"/>
    <col min="2" max="3" width="10.28515625" style="45" hidden="1" customWidth="1"/>
    <col min="4" max="4" width="11.28515625" style="45" hidden="1" customWidth="1"/>
    <col min="5" max="5" width="13.28515625" style="45" hidden="1" customWidth="1"/>
    <col min="6" max="6" width="12.7109375" style="45" hidden="1" customWidth="1"/>
    <col min="7" max="8" width="11.28515625" style="45" hidden="1" customWidth="1"/>
    <col min="9" max="10" width="11" style="44" hidden="1" customWidth="1"/>
    <col min="11" max="11" width="11.7109375" style="44" hidden="1" customWidth="1"/>
    <col min="12" max="12" width="12.5703125" style="44" hidden="1" customWidth="1"/>
    <col min="13" max="17" width="12.5703125" style="44" customWidth="1"/>
    <col min="18" max="18" width="14.28515625" style="44" bestFit="1" customWidth="1"/>
    <col min="19" max="20" width="12.5703125" style="44" customWidth="1"/>
    <col min="21" max="26" width="13" style="44" customWidth="1"/>
    <col min="27" max="16384" width="10.28515625" style="44"/>
  </cols>
  <sheetData>
    <row r="2" spans="1:26" x14ac:dyDescent="0.25">
      <c r="A2" s="56" t="s">
        <v>88</v>
      </c>
    </row>
    <row r="3" spans="1:26" s="56" customFormat="1" ht="23.25" customHeight="1" x14ac:dyDescent="0.25">
      <c r="A3" s="61"/>
      <c r="B3" s="63">
        <v>2001</v>
      </c>
      <c r="C3" s="63">
        <v>2002</v>
      </c>
      <c r="D3" s="63">
        <v>2003</v>
      </c>
      <c r="E3" s="63" t="s">
        <v>85</v>
      </c>
      <c r="F3" s="63" t="s">
        <v>84</v>
      </c>
      <c r="G3" s="63"/>
      <c r="H3" s="63"/>
      <c r="I3" s="61"/>
    </row>
    <row r="4" spans="1:26" ht="23.25" customHeight="1" x14ac:dyDescent="0.25">
      <c r="A4" s="61" t="s">
        <v>68</v>
      </c>
      <c r="B4" s="59">
        <v>84275</v>
      </c>
      <c r="C4" s="59">
        <v>3999376</v>
      </c>
      <c r="D4" s="59">
        <v>6078276</v>
      </c>
      <c r="E4" s="59">
        <v>2912785</v>
      </c>
      <c r="F4" s="59">
        <v>3466158</v>
      </c>
      <c r="G4" s="59"/>
      <c r="H4" s="59"/>
      <c r="I4" s="57"/>
    </row>
    <row r="5" spans="1:26" ht="23.25" customHeight="1" x14ac:dyDescent="0.25">
      <c r="A5" s="61" t="s">
        <v>69</v>
      </c>
      <c r="B5" s="59">
        <v>84275</v>
      </c>
      <c r="C5" s="59">
        <v>3999376</v>
      </c>
      <c r="D5" s="59">
        <v>6078276</v>
      </c>
      <c r="E5" s="59"/>
      <c r="F5" s="59"/>
      <c r="G5" s="59"/>
      <c r="H5" s="59"/>
      <c r="I5" s="57"/>
    </row>
    <row r="6" spans="1:26" x14ac:dyDescent="0.25">
      <c r="O6" s="44" t="s">
        <v>87</v>
      </c>
      <c r="Q6" s="44" t="s">
        <v>86</v>
      </c>
    </row>
    <row r="8" spans="1:26" ht="20.25" customHeight="1" x14ac:dyDescent="0.25">
      <c r="A8" s="61"/>
      <c r="B8" s="63">
        <v>2001</v>
      </c>
      <c r="C8" s="63">
        <v>2002</v>
      </c>
      <c r="D8" s="63">
        <v>2003</v>
      </c>
      <c r="E8" s="63" t="s">
        <v>85</v>
      </c>
      <c r="F8" s="63" t="s">
        <v>84</v>
      </c>
      <c r="G8" s="63">
        <v>2006</v>
      </c>
      <c r="H8" s="63" t="s">
        <v>83</v>
      </c>
      <c r="I8" s="63">
        <v>2008</v>
      </c>
      <c r="J8" s="63">
        <v>2009</v>
      </c>
      <c r="K8" s="63" t="s">
        <v>82</v>
      </c>
      <c r="L8" s="63" t="s">
        <v>81</v>
      </c>
      <c r="M8" s="63" t="s">
        <v>80</v>
      </c>
      <c r="N8" s="63" t="s">
        <v>79</v>
      </c>
      <c r="O8" s="63" t="s">
        <v>78</v>
      </c>
      <c r="P8" s="63" t="s">
        <v>77</v>
      </c>
      <c r="Q8" s="63" t="s">
        <v>76</v>
      </c>
      <c r="R8" s="63" t="s">
        <v>75</v>
      </c>
      <c r="S8" s="63" t="s">
        <v>74</v>
      </c>
      <c r="T8" s="63" t="s">
        <v>36</v>
      </c>
      <c r="U8" s="63" t="s">
        <v>48</v>
      </c>
      <c r="V8" s="63" t="s">
        <v>193</v>
      </c>
      <c r="W8" s="63" t="s">
        <v>213</v>
      </c>
      <c r="X8" s="63" t="s">
        <v>172</v>
      </c>
      <c r="Y8" s="63" t="s">
        <v>184</v>
      </c>
      <c r="Z8" s="63" t="s">
        <v>202</v>
      </c>
    </row>
    <row r="9" spans="1:26" ht="20.25" customHeight="1" x14ac:dyDescent="0.25">
      <c r="A9" s="61" t="s">
        <v>64</v>
      </c>
      <c r="B9" s="59">
        <v>84275</v>
      </c>
      <c r="C9" s="59">
        <v>3999376</v>
      </c>
      <c r="D9" s="59">
        <v>6078276</v>
      </c>
      <c r="E9" s="59">
        <v>2912785</v>
      </c>
      <c r="F9" s="59">
        <v>3466158</v>
      </c>
      <c r="G9" s="59">
        <v>5192836</v>
      </c>
      <c r="H9" s="59">
        <v>5317944</v>
      </c>
      <c r="I9" s="57">
        <v>7592570</v>
      </c>
      <c r="J9" s="57">
        <v>7540749</v>
      </c>
      <c r="K9" s="57">
        <v>7428164</v>
      </c>
      <c r="L9" s="57">
        <v>8304059</v>
      </c>
      <c r="M9" s="62">
        <v>9019403</v>
      </c>
      <c r="N9" s="62">
        <v>7609322</v>
      </c>
      <c r="O9" s="62">
        <v>8278538</v>
      </c>
      <c r="P9" s="62">
        <v>9696615</v>
      </c>
      <c r="Q9" s="62">
        <v>8053332</v>
      </c>
      <c r="R9" s="62">
        <v>7886430</v>
      </c>
      <c r="S9" s="62">
        <v>9352498</v>
      </c>
      <c r="T9" s="62">
        <v>10284570</v>
      </c>
      <c r="U9" s="62">
        <v>10787896</v>
      </c>
      <c r="V9" s="62">
        <v>9863084</v>
      </c>
      <c r="W9" s="62">
        <v>11993157</v>
      </c>
      <c r="X9" s="62">
        <v>14892238</v>
      </c>
      <c r="Y9" s="62">
        <v>15502013</v>
      </c>
      <c r="Z9" s="62">
        <v>17029618</v>
      </c>
    </row>
    <row r="10" spans="1:26" ht="20.25" customHeight="1" x14ac:dyDescent="0.25">
      <c r="A10" s="61" t="s">
        <v>326</v>
      </c>
      <c r="B10" s="59"/>
      <c r="C10" s="59"/>
      <c r="D10" s="59"/>
      <c r="E10" s="59"/>
      <c r="F10" s="59"/>
      <c r="G10" s="59"/>
      <c r="H10" s="59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23978940</v>
      </c>
      <c r="Z10" s="57">
        <v>25692457</v>
      </c>
    </row>
    <row r="11" spans="1:26" ht="20.25" customHeight="1" x14ac:dyDescent="0.25">
      <c r="A11" s="61" t="s">
        <v>63</v>
      </c>
      <c r="B11" s="59">
        <v>1725409</v>
      </c>
      <c r="C11" s="59">
        <v>359422</v>
      </c>
      <c r="D11" s="59">
        <v>5867132</v>
      </c>
      <c r="E11" s="59">
        <f>12367232-2912785</f>
        <v>9454447</v>
      </c>
      <c r="F11" s="59">
        <v>10982426.800000001</v>
      </c>
      <c r="G11" s="59">
        <v>11172923.619999999</v>
      </c>
      <c r="H11" s="59">
        <v>10466523.800000001</v>
      </c>
      <c r="I11" s="57">
        <v>10151456.390000001</v>
      </c>
      <c r="J11" s="57">
        <v>11166878</v>
      </c>
      <c r="K11" s="57">
        <v>10908903</v>
      </c>
      <c r="L11" s="57">
        <v>10288015</v>
      </c>
      <c r="M11" s="57">
        <v>9686464</v>
      </c>
      <c r="N11" s="57">
        <v>10919480</v>
      </c>
      <c r="O11" s="57">
        <v>11432941</v>
      </c>
      <c r="P11" s="57">
        <v>12535240</v>
      </c>
      <c r="Q11" s="57">
        <v>12351887</v>
      </c>
      <c r="R11" s="57">
        <v>14595144</v>
      </c>
      <c r="S11" s="57">
        <v>16794678</v>
      </c>
      <c r="T11" s="57">
        <v>19321422</v>
      </c>
      <c r="U11" s="57">
        <v>21851874</v>
      </c>
      <c r="V11" s="57">
        <v>25796612</v>
      </c>
      <c r="W11" s="57">
        <v>27157982</v>
      </c>
      <c r="X11" s="57">
        <v>29752930</v>
      </c>
      <c r="Y11" s="133">
        <v>5679545</v>
      </c>
      <c r="Z11" s="182"/>
    </row>
    <row r="12" spans="1:26" x14ac:dyDescent="0.25">
      <c r="A12" s="60" t="s">
        <v>73</v>
      </c>
      <c r="B12" s="59"/>
      <c r="C12" s="59"/>
      <c r="D12" s="59"/>
      <c r="E12" s="59"/>
      <c r="F12" s="59"/>
      <c r="G12" s="59"/>
      <c r="H12" s="58"/>
      <c r="I12" s="58"/>
      <c r="J12" s="58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292">
        <v>4151951</v>
      </c>
    </row>
    <row r="13" spans="1:26" x14ac:dyDescent="0.25">
      <c r="A13" s="56" t="s">
        <v>72</v>
      </c>
    </row>
    <row r="14" spans="1:26" x14ac:dyDescent="0.25">
      <c r="Z14" s="44">
        <f>SUM(Z9:Z12)</f>
        <v>46874026</v>
      </c>
    </row>
    <row r="15" spans="1:26" x14ac:dyDescent="0.25">
      <c r="H15" s="55">
        <f>H9+H11</f>
        <v>15784467.800000001</v>
      </c>
      <c r="I15" s="55">
        <f>I9+I11</f>
        <v>17744026.390000001</v>
      </c>
      <c r="J15" s="55"/>
      <c r="K15" s="54"/>
      <c r="M15" s="53" t="s">
        <v>71</v>
      </c>
      <c r="N15" s="44" t="s">
        <v>70</v>
      </c>
    </row>
    <row r="16" spans="1:26" x14ac:dyDescent="0.25">
      <c r="N16" s="165">
        <v>3651734</v>
      </c>
      <c r="O16" s="165">
        <v>267687</v>
      </c>
      <c r="P16" s="165">
        <v>0</v>
      </c>
      <c r="Q16" s="165">
        <v>232530</v>
      </c>
    </row>
    <row r="17" spans="1:8" ht="22.5" hidden="1" customHeight="1" outlineLevel="1" x14ac:dyDescent="0.25">
      <c r="A17" s="51" t="s">
        <v>67</v>
      </c>
      <c r="B17" s="46"/>
      <c r="C17" s="46"/>
      <c r="D17" s="46"/>
      <c r="E17" s="46"/>
      <c r="F17" s="46"/>
      <c r="G17" s="46"/>
      <c r="H17" s="46"/>
    </row>
    <row r="18" spans="1:8" ht="22.5" hidden="1" customHeight="1" outlineLevel="1" x14ac:dyDescent="0.25">
      <c r="A18" s="52"/>
      <c r="B18" s="50">
        <v>2001</v>
      </c>
      <c r="C18" s="50">
        <v>2002</v>
      </c>
      <c r="D18" s="50">
        <v>2003</v>
      </c>
      <c r="E18" s="50" t="s">
        <v>66</v>
      </c>
      <c r="F18" s="50" t="s">
        <v>65</v>
      </c>
      <c r="G18" s="50"/>
      <c r="H18" s="50"/>
    </row>
    <row r="19" spans="1:8" ht="21.75" hidden="1" customHeight="1" outlineLevel="1" x14ac:dyDescent="0.25">
      <c r="A19" s="49" t="s">
        <v>69</v>
      </c>
      <c r="B19" s="48">
        <v>1809684</v>
      </c>
      <c r="C19" s="48">
        <v>4349169</v>
      </c>
      <c r="D19" s="48">
        <v>10942261</v>
      </c>
      <c r="E19" s="48">
        <v>2908920</v>
      </c>
      <c r="F19" s="48">
        <v>4223860</v>
      </c>
      <c r="G19" s="48"/>
      <c r="H19" s="48"/>
    </row>
    <row r="20" spans="1:8" ht="21.75" hidden="1" customHeight="1" outlineLevel="1" x14ac:dyDescent="0.25">
      <c r="A20" s="49" t="s">
        <v>68</v>
      </c>
      <c r="B20" s="48">
        <v>1809684</v>
      </c>
      <c r="C20" s="48">
        <v>4358798</v>
      </c>
      <c r="D20" s="48">
        <v>11025324</v>
      </c>
      <c r="E20" s="48">
        <v>2908920</v>
      </c>
      <c r="F20" s="48">
        <v>4223860</v>
      </c>
      <c r="G20" s="48"/>
      <c r="H20" s="48"/>
    </row>
    <row r="21" spans="1:8" hidden="1" outlineLevel="1" x14ac:dyDescent="0.25">
      <c r="A21" s="51"/>
      <c r="B21" s="46"/>
      <c r="C21" s="46">
        <f>C19-C20</f>
        <v>-9629</v>
      </c>
      <c r="D21" s="46">
        <f>D19-D20</f>
        <v>-83063</v>
      </c>
      <c r="E21" s="46"/>
      <c r="F21" s="46"/>
      <c r="G21" s="46"/>
      <c r="H21" s="46"/>
    </row>
    <row r="22" spans="1:8" hidden="1" outlineLevel="1" x14ac:dyDescent="0.25">
      <c r="A22" s="51"/>
      <c r="B22" s="46"/>
      <c r="C22" s="46"/>
      <c r="D22" s="46"/>
      <c r="E22" s="46"/>
      <c r="F22" s="46"/>
      <c r="G22" s="46"/>
      <c r="H22" s="46"/>
    </row>
    <row r="23" spans="1:8" ht="24.75" hidden="1" customHeight="1" outlineLevel="1" x14ac:dyDescent="0.25">
      <c r="A23" s="49"/>
      <c r="B23" s="50">
        <v>2001</v>
      </c>
      <c r="C23" s="50">
        <v>2002</v>
      </c>
      <c r="D23" s="50">
        <v>2003</v>
      </c>
      <c r="E23" s="50" t="s">
        <v>66</v>
      </c>
      <c r="F23" s="50" t="s">
        <v>65</v>
      </c>
      <c r="G23" s="50"/>
      <c r="H23" s="50"/>
    </row>
    <row r="24" spans="1:8" ht="24.75" hidden="1" customHeight="1" outlineLevel="1" x14ac:dyDescent="0.25">
      <c r="A24" s="49" t="s">
        <v>64</v>
      </c>
      <c r="B24" s="48">
        <v>84275</v>
      </c>
      <c r="C24" s="48">
        <v>3999376</v>
      </c>
      <c r="D24" s="48">
        <v>6078276</v>
      </c>
      <c r="E24" s="48">
        <v>2911420</v>
      </c>
      <c r="F24" s="48">
        <v>4226360</v>
      </c>
      <c r="G24" s="48"/>
      <c r="H24" s="48"/>
    </row>
    <row r="25" spans="1:8" ht="24.75" hidden="1" customHeight="1" outlineLevel="1" x14ac:dyDescent="0.25">
      <c r="A25" s="49" t="s">
        <v>67</v>
      </c>
      <c r="B25" s="48">
        <v>1809684</v>
      </c>
      <c r="C25" s="48">
        <v>4358798</v>
      </c>
      <c r="D25" s="48">
        <v>11055594</v>
      </c>
      <c r="E25" s="48">
        <v>8367041</v>
      </c>
      <c r="F25" s="48">
        <v>7528049</v>
      </c>
      <c r="G25" s="48"/>
      <c r="H25" s="48"/>
    </row>
    <row r="26" spans="1:8" ht="21" hidden="1" customHeight="1" outlineLevel="1" x14ac:dyDescent="0.25">
      <c r="A26" s="49" t="s">
        <v>63</v>
      </c>
      <c r="B26" s="48">
        <f>B25-B24</f>
        <v>1725409</v>
      </c>
      <c r="C26" s="48">
        <f>C25-C24</f>
        <v>359422</v>
      </c>
      <c r="D26" s="48">
        <f>D25-D24</f>
        <v>4977318</v>
      </c>
      <c r="E26" s="48">
        <v>8367041</v>
      </c>
      <c r="F26" s="48">
        <v>7528049</v>
      </c>
      <c r="G26" s="48"/>
      <c r="H26" s="48"/>
    </row>
    <row r="27" spans="1:8" hidden="1" outlineLevel="1" x14ac:dyDescent="0.25">
      <c r="A27" s="51"/>
      <c r="B27" s="46"/>
      <c r="C27" s="46"/>
      <c r="D27" s="46"/>
      <c r="E27" s="46"/>
      <c r="F27" s="46"/>
      <c r="G27" s="46"/>
      <c r="H27" s="46"/>
    </row>
    <row r="28" spans="1:8" ht="25.5" hidden="1" customHeight="1" outlineLevel="1" x14ac:dyDescent="0.25">
      <c r="A28" s="49"/>
      <c r="B28" s="50">
        <v>2001</v>
      </c>
      <c r="C28" s="50">
        <v>2002</v>
      </c>
      <c r="D28" s="50">
        <v>2003</v>
      </c>
      <c r="E28" s="50" t="s">
        <v>66</v>
      </c>
      <c r="F28" s="50" t="s">
        <v>65</v>
      </c>
      <c r="G28" s="50"/>
      <c r="H28" s="50"/>
    </row>
    <row r="29" spans="1:8" ht="21" hidden="1" customHeight="1" outlineLevel="1" x14ac:dyDescent="0.25">
      <c r="A29" s="49" t="s">
        <v>64</v>
      </c>
      <c r="B29" s="48">
        <v>84275</v>
      </c>
      <c r="C29" s="48">
        <v>3999376</v>
      </c>
      <c r="D29" s="48">
        <v>6078276</v>
      </c>
      <c r="E29" s="48">
        <v>2911420</v>
      </c>
      <c r="F29" s="48">
        <v>4226360</v>
      </c>
      <c r="G29" s="48"/>
      <c r="H29" s="48"/>
    </row>
    <row r="30" spans="1:8" ht="23.25" hidden="1" customHeight="1" outlineLevel="1" x14ac:dyDescent="0.25">
      <c r="A30" s="49" t="s">
        <v>63</v>
      </c>
      <c r="B30" s="48">
        <v>1725409</v>
      </c>
      <c r="C30" s="48">
        <v>359422</v>
      </c>
      <c r="D30" s="48">
        <v>4977318</v>
      </c>
      <c r="E30" s="48">
        <v>8367041</v>
      </c>
      <c r="F30" s="48">
        <v>7528049</v>
      </c>
      <c r="G30" s="48"/>
      <c r="H30" s="48"/>
    </row>
    <row r="31" spans="1:8" hidden="1" outlineLevel="1" x14ac:dyDescent="0.25">
      <c r="A31" s="47" t="s">
        <v>62</v>
      </c>
      <c r="B31" s="46"/>
      <c r="C31" s="46"/>
      <c r="D31" s="46"/>
      <c r="E31" s="46"/>
      <c r="F31" s="46"/>
      <c r="G31" s="46"/>
      <c r="H31" s="46"/>
    </row>
    <row r="32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Y17"/>
  <sheetViews>
    <sheetView zoomScale="85" workbookViewId="0">
      <selection activeCell="Y19" sqref="Y19"/>
    </sheetView>
  </sheetViews>
  <sheetFormatPr defaultColWidth="10.28515625" defaultRowHeight="15.75" x14ac:dyDescent="0.25"/>
  <cols>
    <col min="1" max="1" width="25.28515625" style="64" customWidth="1"/>
    <col min="2" max="2" width="11.42578125" style="64" hidden="1" customWidth="1"/>
    <col min="3" max="3" width="14.28515625" style="64" hidden="1" customWidth="1"/>
    <col min="4" max="4" width="13.42578125" style="64" hidden="1" customWidth="1"/>
    <col min="5" max="5" width="12.7109375" style="64" hidden="1" customWidth="1"/>
    <col min="6" max="6" width="13.28515625" style="64" hidden="1" customWidth="1"/>
    <col min="7" max="7" width="13" style="64" hidden="1" customWidth="1"/>
    <col min="8" max="8" width="12.7109375" style="64" hidden="1" customWidth="1"/>
    <col min="9" max="10" width="15" style="64" hidden="1" customWidth="1"/>
    <col min="11" max="15" width="14.42578125" style="64" hidden="1" customWidth="1"/>
    <col min="16" max="17" width="14.42578125" style="64" customWidth="1"/>
    <col min="18" max="25" width="14.7109375" style="64" customWidth="1"/>
    <col min="26" max="16384" width="10.28515625" style="64"/>
  </cols>
  <sheetData>
    <row r="1" spans="1:25" x14ac:dyDescent="0.25">
      <c r="A1" s="502" t="s">
        <v>88</v>
      </c>
      <c r="B1" s="502"/>
      <c r="C1" s="502"/>
      <c r="D1" s="502"/>
      <c r="E1" s="502"/>
      <c r="F1" s="502"/>
    </row>
    <row r="2" spans="1:25" ht="22.5" customHeight="1" x14ac:dyDescent="0.25">
      <c r="A2" s="84"/>
      <c r="B2" s="83">
        <v>2001</v>
      </c>
      <c r="C2" s="83">
        <v>2002</v>
      </c>
      <c r="D2" s="83">
        <v>2003</v>
      </c>
      <c r="E2" s="83">
        <v>2004</v>
      </c>
      <c r="F2" s="83">
        <v>2005</v>
      </c>
      <c r="G2" s="83">
        <v>2006</v>
      </c>
      <c r="H2" s="83">
        <v>2007</v>
      </c>
      <c r="I2" s="75">
        <v>2008</v>
      </c>
      <c r="J2" s="74">
        <v>2009</v>
      </c>
      <c r="K2" s="74">
        <v>2010</v>
      </c>
      <c r="L2" s="74">
        <v>2011</v>
      </c>
      <c r="M2" s="74">
        <v>2012</v>
      </c>
      <c r="N2" s="74">
        <v>2013</v>
      </c>
      <c r="O2" s="74">
        <v>2014</v>
      </c>
      <c r="P2" s="74">
        <v>2015</v>
      </c>
      <c r="Q2" s="74">
        <v>2016</v>
      </c>
      <c r="R2" s="74">
        <v>2017</v>
      </c>
      <c r="S2" s="74">
        <v>2018</v>
      </c>
      <c r="T2" s="74">
        <v>2019</v>
      </c>
      <c r="U2" s="74">
        <v>2020</v>
      </c>
      <c r="V2" s="74">
        <v>2021</v>
      </c>
      <c r="W2" s="74">
        <v>2022</v>
      </c>
      <c r="X2" s="74">
        <v>2023</v>
      </c>
      <c r="Y2" s="74">
        <v>2024</v>
      </c>
    </row>
    <row r="3" spans="1:25" ht="22.5" customHeight="1" x14ac:dyDescent="0.25">
      <c r="A3" s="82" t="s">
        <v>93</v>
      </c>
      <c r="B3" s="81">
        <v>84275</v>
      </c>
      <c r="C3" s="80">
        <v>3960026</v>
      </c>
      <c r="D3" s="80">
        <v>5976481</v>
      </c>
      <c r="E3" s="80">
        <v>2622083</v>
      </c>
      <c r="F3" s="80">
        <v>2804755</v>
      </c>
      <c r="G3" s="80">
        <v>3835304</v>
      </c>
      <c r="H3" s="80">
        <v>3597607</v>
      </c>
      <c r="I3" s="57">
        <v>4148674</v>
      </c>
      <c r="J3" s="62">
        <v>4386633</v>
      </c>
      <c r="K3" s="62">
        <v>4426857</v>
      </c>
      <c r="L3" s="62">
        <v>4548788</v>
      </c>
      <c r="M3" s="62">
        <v>4787612</v>
      </c>
      <c r="N3" s="62">
        <v>4674368</v>
      </c>
      <c r="O3" s="62">
        <v>4749050</v>
      </c>
      <c r="P3" s="62">
        <v>5225653</v>
      </c>
      <c r="Q3" s="62">
        <v>5123867</v>
      </c>
      <c r="R3" s="62">
        <v>5704252</v>
      </c>
      <c r="S3" s="62">
        <v>6456472</v>
      </c>
      <c r="T3" s="62">
        <v>6996283</v>
      </c>
      <c r="U3" s="62">
        <v>7490726</v>
      </c>
      <c r="V3" s="62">
        <v>7002032</v>
      </c>
      <c r="W3" s="62">
        <v>7846903</v>
      </c>
      <c r="X3" s="62">
        <v>9973858</v>
      </c>
      <c r="Y3" s="225">
        <v>34408612</v>
      </c>
    </row>
    <row r="4" spans="1:25" ht="22.5" customHeight="1" x14ac:dyDescent="0.25">
      <c r="A4" s="82" t="s">
        <v>92</v>
      </c>
      <c r="B4" s="81">
        <v>0</v>
      </c>
      <c r="C4" s="80">
        <v>39350</v>
      </c>
      <c r="D4" s="80">
        <v>101795</v>
      </c>
      <c r="E4" s="80">
        <v>290702</v>
      </c>
      <c r="F4" s="80">
        <v>661403</v>
      </c>
      <c r="G4" s="80">
        <v>1357532</v>
      </c>
      <c r="H4" s="80">
        <v>1720337</v>
      </c>
      <c r="I4" s="57">
        <v>3443896</v>
      </c>
      <c r="J4" s="62">
        <v>3154116</v>
      </c>
      <c r="K4" s="62">
        <v>3001307</v>
      </c>
      <c r="L4" s="62">
        <v>3755271</v>
      </c>
      <c r="M4" s="62">
        <v>4231791</v>
      </c>
      <c r="N4" s="62">
        <v>2934954</v>
      </c>
      <c r="O4" s="62">
        <v>3529488</v>
      </c>
      <c r="P4" s="62">
        <v>4470962</v>
      </c>
      <c r="Q4" s="62">
        <v>1689119</v>
      </c>
      <c r="R4" s="62">
        <v>2182178</v>
      </c>
      <c r="S4" s="62">
        <v>2896026</v>
      </c>
      <c r="T4" s="62">
        <v>3288287</v>
      </c>
      <c r="U4" s="62">
        <v>3297170</v>
      </c>
      <c r="V4" s="62">
        <v>2861052</v>
      </c>
      <c r="W4" s="62">
        <v>4146254</v>
      </c>
      <c r="X4" s="62">
        <v>4918380</v>
      </c>
      <c r="Y4" s="62">
        <v>5072341</v>
      </c>
    </row>
    <row r="5" spans="1:25" ht="22.5" customHeight="1" x14ac:dyDescent="0.25">
      <c r="A5" s="79" t="s">
        <v>91</v>
      </c>
      <c r="B5" s="78">
        <f t="shared" ref="B5:S5" si="0">SUM(B3:B4)</f>
        <v>84275</v>
      </c>
      <c r="C5" s="78">
        <f t="shared" si="0"/>
        <v>3999376</v>
      </c>
      <c r="D5" s="78">
        <f t="shared" si="0"/>
        <v>6078276</v>
      </c>
      <c r="E5" s="78">
        <f t="shared" si="0"/>
        <v>2912785</v>
      </c>
      <c r="F5" s="78">
        <f t="shared" si="0"/>
        <v>3466158</v>
      </c>
      <c r="G5" s="78">
        <f t="shared" si="0"/>
        <v>5192836</v>
      </c>
      <c r="H5" s="78">
        <f t="shared" si="0"/>
        <v>5317944</v>
      </c>
      <c r="I5" s="66">
        <f t="shared" si="0"/>
        <v>7592570</v>
      </c>
      <c r="J5" s="65">
        <f t="shared" si="0"/>
        <v>7540749</v>
      </c>
      <c r="K5" s="65">
        <f t="shared" si="0"/>
        <v>7428164</v>
      </c>
      <c r="L5" s="65">
        <f t="shared" si="0"/>
        <v>8304059</v>
      </c>
      <c r="M5" s="65">
        <f t="shared" si="0"/>
        <v>9019403</v>
      </c>
      <c r="N5" s="65">
        <f t="shared" si="0"/>
        <v>7609322</v>
      </c>
      <c r="O5" s="65">
        <f t="shared" si="0"/>
        <v>8278538</v>
      </c>
      <c r="P5" s="65">
        <f t="shared" si="0"/>
        <v>9696615</v>
      </c>
      <c r="Q5" s="65">
        <f t="shared" si="0"/>
        <v>6812986</v>
      </c>
      <c r="R5" s="65">
        <f t="shared" si="0"/>
        <v>7886430</v>
      </c>
      <c r="S5" s="65">
        <f t="shared" si="0"/>
        <v>9352498</v>
      </c>
      <c r="T5" s="65">
        <f t="shared" ref="T5:Y5" si="1">SUM(T3:T4)</f>
        <v>10284570</v>
      </c>
      <c r="U5" s="65">
        <f t="shared" si="1"/>
        <v>10787896</v>
      </c>
      <c r="V5" s="65">
        <f t="shared" si="1"/>
        <v>9863084</v>
      </c>
      <c r="W5" s="65">
        <f t="shared" si="1"/>
        <v>11993157</v>
      </c>
      <c r="X5" s="65">
        <f t="shared" si="1"/>
        <v>14892238</v>
      </c>
      <c r="Y5" s="65">
        <f t="shared" si="1"/>
        <v>39480953</v>
      </c>
    </row>
    <row r="9" spans="1:25" x14ac:dyDescent="0.25">
      <c r="A9" s="77"/>
      <c r="B9" s="76">
        <v>2001</v>
      </c>
      <c r="C9" s="76">
        <v>2002</v>
      </c>
      <c r="D9" s="76">
        <v>2003</v>
      </c>
      <c r="E9" s="76">
        <v>2004</v>
      </c>
      <c r="F9" s="76">
        <v>2005</v>
      </c>
      <c r="G9" s="76">
        <v>2006</v>
      </c>
      <c r="H9" s="76">
        <v>2007</v>
      </c>
      <c r="I9" s="75">
        <v>2008</v>
      </c>
      <c r="J9" s="74">
        <v>2009</v>
      </c>
      <c r="K9" s="74">
        <v>2010</v>
      </c>
      <c r="L9" s="74">
        <v>2011</v>
      </c>
      <c r="M9" s="74">
        <v>2012</v>
      </c>
      <c r="N9" s="74">
        <v>2013</v>
      </c>
      <c r="O9" s="74">
        <v>2014</v>
      </c>
      <c r="P9" s="74">
        <v>2015</v>
      </c>
      <c r="Q9" s="74">
        <v>2016</v>
      </c>
      <c r="R9" s="74">
        <v>2017</v>
      </c>
      <c r="S9" s="74">
        <v>2018</v>
      </c>
      <c r="T9" s="74">
        <v>2019</v>
      </c>
      <c r="U9" s="74">
        <v>2020</v>
      </c>
      <c r="V9" s="74">
        <v>2021</v>
      </c>
      <c r="W9" s="74">
        <v>2022</v>
      </c>
      <c r="X9" s="74">
        <v>2023</v>
      </c>
      <c r="Y9" s="74">
        <v>2024</v>
      </c>
    </row>
    <row r="10" spans="1:25" x14ac:dyDescent="0.25">
      <c r="A10" s="72" t="s">
        <v>90</v>
      </c>
      <c r="B10" s="71">
        <v>10</v>
      </c>
      <c r="C10" s="70">
        <v>1033100</v>
      </c>
      <c r="D10" s="69">
        <v>1139600</v>
      </c>
      <c r="E10" s="57">
        <v>1152642</v>
      </c>
      <c r="F10" s="57">
        <v>1245018</v>
      </c>
      <c r="G10" s="57">
        <v>3847124</v>
      </c>
      <c r="H10" s="57">
        <v>4045313</v>
      </c>
      <c r="I10" s="57">
        <v>4328690</v>
      </c>
      <c r="J10" s="62">
        <v>4532498</v>
      </c>
      <c r="K10" s="62">
        <v>4121475</v>
      </c>
      <c r="L10" s="62">
        <v>4416300</v>
      </c>
      <c r="M10" s="62">
        <v>4543700</v>
      </c>
      <c r="N10" s="62">
        <v>4302600</v>
      </c>
      <c r="O10" s="62">
        <v>4498900</v>
      </c>
      <c r="P10" s="62">
        <v>4776650</v>
      </c>
      <c r="Q10" s="62">
        <v>5330950</v>
      </c>
      <c r="R10" s="62">
        <v>5771300</v>
      </c>
      <c r="S10" s="62">
        <v>6427050</v>
      </c>
      <c r="T10" s="62">
        <v>7030550</v>
      </c>
      <c r="U10" s="62">
        <v>7340300</v>
      </c>
      <c r="V10" s="62">
        <v>6307200</v>
      </c>
      <c r="W10" s="62">
        <v>7283700</v>
      </c>
      <c r="X10" s="62">
        <v>8580950</v>
      </c>
      <c r="Y10" s="62">
        <v>10100900</v>
      </c>
    </row>
    <row r="11" spans="1:25" x14ac:dyDescent="0.25">
      <c r="A11" s="72" t="s">
        <v>59</v>
      </c>
      <c r="B11" s="71">
        <v>90</v>
      </c>
      <c r="C11" s="70">
        <v>5899</v>
      </c>
      <c r="D11" s="69">
        <v>36891</v>
      </c>
      <c r="E11" s="57">
        <v>45708</v>
      </c>
      <c r="F11" s="57">
        <v>85840</v>
      </c>
      <c r="G11" s="57">
        <v>131499</v>
      </c>
      <c r="H11" s="57">
        <v>208296</v>
      </c>
      <c r="I11" s="57">
        <v>97807</v>
      </c>
      <c r="J11" s="62">
        <v>183697</v>
      </c>
      <c r="K11" s="62">
        <v>169579</v>
      </c>
      <c r="L11" s="62">
        <v>291031</v>
      </c>
      <c r="M11" s="62">
        <v>169400</v>
      </c>
      <c r="N11" s="62">
        <v>184620</v>
      </c>
      <c r="O11" s="62">
        <v>191852</v>
      </c>
      <c r="P11" s="62">
        <v>162937</v>
      </c>
      <c r="Q11" s="62">
        <v>140391</v>
      </c>
      <c r="R11" s="62">
        <v>164820</v>
      </c>
      <c r="S11" s="62">
        <v>613120</v>
      </c>
      <c r="T11" s="62">
        <v>563161</v>
      </c>
      <c r="U11" s="62">
        <v>585252</v>
      </c>
      <c r="V11" s="62">
        <v>581497</v>
      </c>
      <c r="W11" s="62">
        <v>597999</v>
      </c>
      <c r="X11" s="62">
        <v>755536</v>
      </c>
      <c r="Y11" s="62">
        <v>628872</v>
      </c>
    </row>
    <row r="12" spans="1:25" x14ac:dyDescent="0.25">
      <c r="A12" s="72" t="s">
        <v>60</v>
      </c>
      <c r="B12" s="71">
        <v>0</v>
      </c>
      <c r="C12" s="73">
        <v>0</v>
      </c>
      <c r="D12" s="69">
        <v>20000</v>
      </c>
      <c r="E12" s="57">
        <v>10000</v>
      </c>
      <c r="F12" s="57">
        <v>10300</v>
      </c>
      <c r="G12" s="57">
        <v>40000</v>
      </c>
      <c r="H12" s="57">
        <v>40000</v>
      </c>
      <c r="I12" s="57">
        <v>40500</v>
      </c>
      <c r="J12" s="62">
        <v>58500</v>
      </c>
      <c r="K12" s="62">
        <v>45730</v>
      </c>
      <c r="L12" s="62">
        <v>60230</v>
      </c>
      <c r="M12" s="62">
        <v>79409</v>
      </c>
      <c r="N12" s="62">
        <v>85980</v>
      </c>
      <c r="O12" s="62">
        <v>85980</v>
      </c>
      <c r="P12" s="62">
        <v>55980</v>
      </c>
      <c r="Q12" s="62">
        <v>40980</v>
      </c>
      <c r="R12" s="62">
        <v>55000</v>
      </c>
      <c r="S12" s="62">
        <v>66000</v>
      </c>
      <c r="T12" s="62">
        <v>41450</v>
      </c>
      <c r="U12" s="62">
        <v>36450</v>
      </c>
      <c r="V12" s="62">
        <v>65658</v>
      </c>
      <c r="W12" s="62">
        <v>74079</v>
      </c>
      <c r="X12" s="62">
        <v>52476</v>
      </c>
      <c r="Y12" s="62">
        <v>53993</v>
      </c>
    </row>
    <row r="13" spans="1:25" x14ac:dyDescent="0.25">
      <c r="A13" s="72" t="s">
        <v>61</v>
      </c>
      <c r="B13" s="71">
        <v>84175</v>
      </c>
      <c r="C13" s="70">
        <v>2960377</v>
      </c>
      <c r="D13" s="69">
        <v>4881785</v>
      </c>
      <c r="E13" s="57">
        <v>1704435</v>
      </c>
      <c r="F13" s="57">
        <v>2089000</v>
      </c>
      <c r="G13" s="57">
        <v>680213</v>
      </c>
      <c r="H13" s="57">
        <v>774335</v>
      </c>
      <c r="I13" s="57">
        <v>1925572.7</v>
      </c>
      <c r="J13" s="62">
        <v>2098388</v>
      </c>
      <c r="K13" s="62">
        <v>1689276</v>
      </c>
      <c r="L13" s="62">
        <v>2313905</v>
      </c>
      <c r="M13" s="62">
        <v>2139590</v>
      </c>
      <c r="N13" s="62">
        <v>1706993</v>
      </c>
      <c r="O13" s="62">
        <v>2169460</v>
      </c>
      <c r="P13" s="62">
        <v>3565454</v>
      </c>
      <c r="Q13" s="62">
        <v>2541011</v>
      </c>
      <c r="R13" s="62">
        <v>974346</v>
      </c>
      <c r="S13" s="62">
        <v>1130957</v>
      </c>
      <c r="T13" s="62">
        <v>1809816</v>
      </c>
      <c r="U13" s="62">
        <v>2233393</v>
      </c>
      <c r="V13" s="62">
        <v>1615456</v>
      </c>
      <c r="W13" s="62">
        <v>1342985</v>
      </c>
      <c r="X13" s="62">
        <v>2454033</v>
      </c>
      <c r="Y13" s="225">
        <v>25458130</v>
      </c>
    </row>
    <row r="14" spans="1:25" ht="20.25" customHeight="1" x14ac:dyDescent="0.25">
      <c r="A14" s="68" t="s">
        <v>89</v>
      </c>
      <c r="B14" s="67">
        <f t="shared" ref="B14:S14" si="2">SUM(B10:B13)</f>
        <v>84275</v>
      </c>
      <c r="C14" s="67">
        <f t="shared" si="2"/>
        <v>3999376</v>
      </c>
      <c r="D14" s="67">
        <f t="shared" si="2"/>
        <v>6078276</v>
      </c>
      <c r="E14" s="61">
        <f t="shared" si="2"/>
        <v>2912785</v>
      </c>
      <c r="F14" s="61">
        <f t="shared" si="2"/>
        <v>3430158</v>
      </c>
      <c r="G14" s="61">
        <f t="shared" si="2"/>
        <v>4698836</v>
      </c>
      <c r="H14" s="61">
        <f t="shared" si="2"/>
        <v>5067944</v>
      </c>
      <c r="I14" s="66">
        <f t="shared" si="2"/>
        <v>6392569.7000000002</v>
      </c>
      <c r="J14" s="65">
        <f t="shared" si="2"/>
        <v>6873083</v>
      </c>
      <c r="K14" s="65">
        <f t="shared" si="2"/>
        <v>6026060</v>
      </c>
      <c r="L14" s="65">
        <f t="shared" si="2"/>
        <v>7081466</v>
      </c>
      <c r="M14" s="65">
        <f t="shared" si="2"/>
        <v>6932099</v>
      </c>
      <c r="N14" s="65">
        <f t="shared" si="2"/>
        <v>6280193</v>
      </c>
      <c r="O14" s="65">
        <f t="shared" si="2"/>
        <v>6946192</v>
      </c>
      <c r="P14" s="65">
        <f t="shared" si="2"/>
        <v>8561021</v>
      </c>
      <c r="Q14" s="65">
        <f t="shared" si="2"/>
        <v>8053332</v>
      </c>
      <c r="R14" s="65">
        <f t="shared" si="2"/>
        <v>6965466</v>
      </c>
      <c r="S14" s="65">
        <f t="shared" si="2"/>
        <v>8237127</v>
      </c>
      <c r="T14" s="65">
        <f t="shared" ref="T14:Y14" si="3">SUM(T10:T13)</f>
        <v>9444977</v>
      </c>
      <c r="U14" s="65">
        <f t="shared" si="3"/>
        <v>10195395</v>
      </c>
      <c r="V14" s="65">
        <f t="shared" si="3"/>
        <v>8569811</v>
      </c>
      <c r="W14" s="65">
        <f t="shared" si="3"/>
        <v>9298763</v>
      </c>
      <c r="X14" s="65">
        <f t="shared" si="3"/>
        <v>11842995</v>
      </c>
      <c r="Y14" s="65">
        <f t="shared" si="3"/>
        <v>36241895</v>
      </c>
    </row>
    <row r="17" spans="2:8" x14ac:dyDescent="0.25">
      <c r="B17" s="44">
        <f>B5-B14</f>
        <v>0</v>
      </c>
      <c r="C17" s="44">
        <f>C5-C14</f>
        <v>0</v>
      </c>
      <c r="D17" s="44">
        <f>D5-D14</f>
        <v>0</v>
      </c>
      <c r="E17" s="44">
        <f>E5-E14</f>
        <v>0</v>
      </c>
      <c r="F17" s="44">
        <f>F5-F14</f>
        <v>36000</v>
      </c>
      <c r="G17" s="44">
        <v>494000</v>
      </c>
      <c r="H17" s="44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6294676561344BD372BEA72638A28" ma:contentTypeVersion="4" ma:contentTypeDescription="Create a new document." ma:contentTypeScope="" ma:versionID="c1758718e5e0cc27a32f4e2e7ba0bbba">
  <xsd:schema xmlns:xsd="http://www.w3.org/2001/XMLSchema" xmlns:xs="http://www.w3.org/2001/XMLSchema" xmlns:p="http://schemas.microsoft.com/office/2006/metadata/properties" xmlns:ns2="4af3958b-5764-41fd-9e51-7f968bd77d68" targetNamespace="http://schemas.microsoft.com/office/2006/metadata/properties" ma:root="true" ma:fieldsID="2b87ebe51e789ce78480e89d1712c55f" ns2:_="">
    <xsd:import namespace="4af3958b-5764-41fd-9e51-7f968bd77d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3958b-5764-41fd-9e51-7f968bd77d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7A686B-2BB9-428C-A0F1-5BF7DFF34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3958b-5764-41fd-9e51-7f968bd77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10C3B-F47C-4C9D-BDE5-9DB6A1D806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9BF98-9325-433B-844A-82ACD5F9068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1c884cfb-4f2a-45da-9f70-0953090e42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11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28" baseType="lpstr">
      <vt:lpstr>OBSAH</vt:lpstr>
      <vt:lpstr>Dotační programy</vt:lpstr>
      <vt:lpstr>Individuální dotace</vt:lpstr>
      <vt:lpstr>Akce reprodukce majetku kraje</vt:lpstr>
      <vt:lpstr>Akce spoluf. z evr.fin.zdrojů</vt:lpstr>
      <vt:lpstr>Akce fin. z úvěrových zdrojů</vt:lpstr>
      <vt:lpstr>Přehled příjmů 2025</vt:lpstr>
      <vt:lpstr>Zdrojová data I.s</vt:lpstr>
      <vt:lpstr>Zdrojová data II. a III. s</vt:lpstr>
      <vt:lpstr>Zdrojová data IV.</vt:lpstr>
      <vt:lpstr>Zdrojová data V.a VI.</vt:lpstr>
      <vt:lpstr>Graf 1. Rozpočet 2021-2025</vt:lpstr>
      <vt:lpstr>Graf 2. Příjmy 2019-2023</vt:lpstr>
      <vt:lpstr>Graf 3. Výdaje B+K 2019-2023</vt:lpstr>
      <vt:lpstr>Graf 2. Příjmy 2025</vt:lpstr>
      <vt:lpstr>Graf 3. Výdaje 2025</vt:lpstr>
      <vt:lpstr>Graf 4. Výdaje EU 2025</vt:lpstr>
      <vt:lpstr>'Akce fin. z úvěrových zdrojů'!Názvy_tisku</vt:lpstr>
      <vt:lpstr>'Akce reprodukce majetku kraje'!Názvy_tisku</vt:lpstr>
      <vt:lpstr>'Akce spoluf. z evr.fin.zdrojů'!Názvy_tisku</vt:lpstr>
      <vt:lpstr>'Dotační programy'!Názvy_tisku</vt:lpstr>
      <vt:lpstr>'Individuální dotace'!Názvy_tisku</vt:lpstr>
      <vt:lpstr>'Přehled příjmů 2025'!Názvy_tisku</vt:lpstr>
      <vt:lpstr>'Akce fin. z úvěrových zdrojů'!Oblast_tisku</vt:lpstr>
      <vt:lpstr>'Akce reprodukce majetku kraje'!Oblast_tisku</vt:lpstr>
      <vt:lpstr>'Dotační programy'!Oblast_tisku</vt:lpstr>
      <vt:lpstr>'Individuální dotace'!Oblast_tisku</vt:lpstr>
      <vt:lpstr>'Přehled příjmů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2024-11-27T08:19:22Z</cp:lastPrinted>
  <dcterms:created xsi:type="dcterms:W3CDTF">2017-09-20T06:24:12Z</dcterms:created>
  <dcterms:modified xsi:type="dcterms:W3CDTF">2024-11-27T09:08:10Z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0x0101006BC6294676561344BD372BEA72638A28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2023-11-10T12:47:29Z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cd3f05af-8daa-4574-ae4c-8d4141546412</vt:lpwstr>
  </property>
  <property fmtid="{D5CDD505-2E9C-101B-9397-08002B2CF9AE}" pid="9" name="MSIP_Label_bc18e8b5-cf04-4356-9f73-4b8f937bc4ae_ContentBits">
    <vt:lpwstr>0</vt:lpwstr>
  </property>
</Properties>
</file>