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kraj-my.sharepoint.com/personal/renata_kubikova_msk_cz/Documents/Plocha/Přílohy MAT ZK 6.6/"/>
    </mc:Choice>
  </mc:AlternateContent>
  <xr:revisionPtr revIDLastSave="830" documentId="8_{621C9E21-D7B8-43A3-886C-F1BF6E30F581}" xr6:coauthVersionLast="47" xr6:coauthVersionMax="47" xr10:uidLastSave="{F697834C-E1BE-426D-A1B3-4E32135E0970}"/>
  <bookViews>
    <workbookView xWindow="28680" yWindow="-75" windowWidth="29040" windowHeight="15840" tabRatio="730" xr2:uid="{54F4A12B-D903-4848-90E6-597CCB8B3524}"/>
  </bookViews>
  <sheets>
    <sheet name="Úvěr ČS ZK 6.6.2024" sheetId="74" r:id="rId1"/>
  </sheets>
  <externalReferences>
    <externalReference r:id="rId2"/>
  </externalReferences>
  <definedNames>
    <definedName name="DF_GRID_1">#REF!</definedName>
    <definedName name="DF_GRID_2">#REF!</definedName>
    <definedName name="DF_GRID_3">#REF!</definedName>
    <definedName name="kurz">[1]rozhodnutí!$N$31</definedName>
    <definedName name="SAPBEXhrIndnt" hidden="1">"Wide"</definedName>
    <definedName name="SAPsysID" hidden="1">"708C5W7SBKP804JT78WJ0JNKI"</definedName>
    <definedName name="SAPwbID" hidden="1">"ARS"</definedName>
  </definedNames>
  <calcPr calcId="191028"/>
  <customWorkbookViews>
    <customWorkbookView name="Metelka Tomáš – osobní zobrazení" guid="{101071BA-2FA5-4A0F-9E83-07DE84746187}" mergeInterval="0" personalView="1" maximized="1" xWindow="-8" yWindow="-8" windowWidth="1936" windowHeight="1056" activeSheetId="2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" i="74" l="1"/>
  <c r="H101" i="74"/>
  <c r="G97" i="74"/>
  <c r="K99" i="74" l="1"/>
  <c r="G59" i="74" l="1"/>
  <c r="G9" i="74"/>
  <c r="H89" i="74"/>
  <c r="D9" i="74"/>
  <c r="G36" i="74" l="1"/>
  <c r="G69" i="74" l="1"/>
  <c r="I99" i="74"/>
  <c r="G41" i="74"/>
  <c r="J8" i="74"/>
  <c r="H8" i="74"/>
  <c r="H36" i="74" l="1"/>
  <c r="H97" i="74"/>
  <c r="G64" i="74"/>
  <c r="J64" i="74" s="1"/>
  <c r="G65" i="74"/>
  <c r="J65" i="74" s="1"/>
  <c r="G94" i="74"/>
  <c r="J94" i="74" s="1"/>
  <c r="G92" i="74"/>
  <c r="J92" i="74" s="1"/>
  <c r="J69" i="74"/>
  <c r="G72" i="74"/>
  <c r="J72" i="74" s="1"/>
  <c r="F98" i="74"/>
  <c r="E98" i="74"/>
  <c r="D98" i="74"/>
  <c r="H96" i="74"/>
  <c r="H95" i="74"/>
  <c r="J93" i="74"/>
  <c r="H93" i="74"/>
  <c r="G91" i="74"/>
  <c r="H90" i="74"/>
  <c r="J89" i="74"/>
  <c r="H88" i="74"/>
  <c r="J87" i="74"/>
  <c r="H87" i="74"/>
  <c r="H86" i="74"/>
  <c r="H85" i="74"/>
  <c r="H84" i="74"/>
  <c r="H83" i="74"/>
  <c r="H82" i="74"/>
  <c r="H81" i="74"/>
  <c r="F79" i="74"/>
  <c r="E79" i="74"/>
  <c r="D79" i="74"/>
  <c r="J78" i="74"/>
  <c r="H78" i="74"/>
  <c r="J77" i="74"/>
  <c r="H77" i="74"/>
  <c r="J76" i="74"/>
  <c r="H76" i="74"/>
  <c r="H75" i="74"/>
  <c r="H74" i="74"/>
  <c r="H73" i="74"/>
  <c r="H71" i="74"/>
  <c r="J70" i="74"/>
  <c r="H70" i="74"/>
  <c r="H68" i="74"/>
  <c r="H67" i="74"/>
  <c r="N66" i="74"/>
  <c r="H66" i="74"/>
  <c r="H63" i="74"/>
  <c r="H62" i="74"/>
  <c r="G61" i="74"/>
  <c r="J61" i="74" s="1"/>
  <c r="J60" i="74"/>
  <c r="H60" i="74"/>
  <c r="H58" i="74"/>
  <c r="H57" i="74"/>
  <c r="H56" i="74"/>
  <c r="H55" i="74"/>
  <c r="H54" i="74"/>
  <c r="H53" i="74"/>
  <c r="H52" i="74"/>
  <c r="H51" i="74"/>
  <c r="F49" i="74"/>
  <c r="E49" i="74"/>
  <c r="D49" i="74"/>
  <c r="G48" i="74"/>
  <c r="J47" i="74"/>
  <c r="H47" i="74"/>
  <c r="H46" i="74"/>
  <c r="H45" i="74"/>
  <c r="H44" i="74"/>
  <c r="H43" i="74"/>
  <c r="J40" i="74"/>
  <c r="H40" i="74"/>
  <c r="F38" i="74"/>
  <c r="E38" i="74"/>
  <c r="D38" i="74"/>
  <c r="J37" i="74"/>
  <c r="H37" i="74"/>
  <c r="J35" i="74"/>
  <c r="H35" i="74"/>
  <c r="H34" i="74"/>
  <c r="H33" i="74"/>
  <c r="G28" i="74"/>
  <c r="G29" i="74" s="1"/>
  <c r="F28" i="74"/>
  <c r="F29" i="74" s="1"/>
  <c r="E28" i="74"/>
  <c r="E29" i="74" s="1"/>
  <c r="D28" i="74"/>
  <c r="D29" i="74" s="1"/>
  <c r="H27" i="74"/>
  <c r="H28" i="74" s="1"/>
  <c r="H29" i="74" s="1"/>
  <c r="F22" i="74"/>
  <c r="E22" i="74"/>
  <c r="H21" i="74"/>
  <c r="H22" i="74" s="1"/>
  <c r="G19" i="74"/>
  <c r="F19" i="74"/>
  <c r="E19" i="74"/>
  <c r="D19" i="74"/>
  <c r="H18" i="74"/>
  <c r="H17" i="74"/>
  <c r="H16" i="74"/>
  <c r="H15" i="74"/>
  <c r="F13" i="74"/>
  <c r="E13" i="74"/>
  <c r="D13" i="74"/>
  <c r="G12" i="74"/>
  <c r="J12" i="74" s="1"/>
  <c r="G11" i="74"/>
  <c r="F9" i="74"/>
  <c r="E9" i="74"/>
  <c r="J7" i="74"/>
  <c r="H7" i="74"/>
  <c r="H9" i="74" s="1"/>
  <c r="G13" i="74" l="1"/>
  <c r="G23" i="74" s="1"/>
  <c r="G79" i="74"/>
  <c r="H19" i="74"/>
  <c r="J48" i="74"/>
  <c r="G49" i="74"/>
  <c r="J91" i="74"/>
  <c r="G98" i="74"/>
  <c r="H59" i="74"/>
  <c r="J59" i="74"/>
  <c r="J11" i="74"/>
  <c r="F23" i="74"/>
  <c r="F41" i="74" s="1"/>
  <c r="F99" i="74" s="1"/>
  <c r="F101" i="74" s="1"/>
  <c r="D23" i="74"/>
  <c r="D41" i="74" s="1"/>
  <c r="D99" i="74" s="1"/>
  <c r="D101" i="74" s="1"/>
  <c r="H61" i="74"/>
  <c r="H69" i="74"/>
  <c r="E23" i="74"/>
  <c r="E41" i="74" s="1"/>
  <c r="E99" i="74" s="1"/>
  <c r="E101" i="74" s="1"/>
  <c r="J97" i="74"/>
  <c r="H65" i="74"/>
  <c r="H94" i="74"/>
  <c r="H92" i="74"/>
  <c r="H64" i="74"/>
  <c r="H72" i="74"/>
  <c r="G38" i="74"/>
  <c r="J36" i="74"/>
  <c r="H38" i="74"/>
  <c r="H48" i="74"/>
  <c r="H49" i="74" s="1"/>
  <c r="H11" i="74"/>
  <c r="H91" i="74"/>
  <c r="H12" i="74"/>
  <c r="H13" i="74" l="1"/>
  <c r="J99" i="74"/>
  <c r="M99" i="74" s="1"/>
  <c r="H98" i="74"/>
  <c r="H79" i="74"/>
  <c r="G99" i="74"/>
  <c r="G101" i="74" s="1"/>
  <c r="H23" i="74" l="1"/>
  <c r="H41" i="74"/>
  <c r="K101" i="74" l="1"/>
  <c r="M102" i="74" s="1"/>
  <c r="M104" i="7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Kubíková Renata</author>
  </authors>
  <commentList>
    <comment ref="F4" authorId="0" shapeId="0" xr:uid="{1BFBE977-8477-40BF-9304-85C7819B447F}">
      <text>
        <r>
          <rPr>
            <sz val="9"/>
            <color indexed="81"/>
            <rFont val="Tahoma"/>
            <family val="2"/>
            <charset val="238"/>
          </rPr>
          <t xml:space="preserve">
čerpání k 31.12.2024</t>
        </r>
      </text>
    </comment>
    <comment ref="K99" authorId="0" shapeId="0" xr:uid="{C97B69BF-FEA3-44E2-9696-B0CF6B1C238E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nerozdělená úspora  na akcích z min. roku 2023 +úspora od IVONY RK 8.4.2024</t>
        </r>
      </text>
    </comment>
    <comment ref="J101" authorId="0" shapeId="0" xr:uid="{396671F6-CD10-4804-94C6-26C147F912DA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úvěrový rámec
</t>
        </r>
      </text>
    </comment>
    <comment ref="K101" authorId="0" shapeId="0" xr:uid="{0DB04D1E-9FFC-4DB3-B78D-2C315AFD01C6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rozdíl  úvěrový rámec minus aktuální = nerozdělené  prostředky úvěru</t>
        </r>
      </text>
    </comment>
    <comment ref="M102" authorId="0" shapeId="0" xr:uid="{FA16719A-421D-4B8B-905F-1A0BE97AA75C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Toto je můj výpočet, částka, kterou můžeme čerpat o 10,66 vyšší</t>
        </r>
      </text>
    </comment>
    <comment ref="M103" authorId="0" shapeId="0" xr:uid="{ED64B3A3-2232-47D0-806C-6052DA1CBE62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Načerpáno  na ČOV HAVířov - vysvětlení  Šárka Pavlíčková</t>
        </r>
      </text>
    </comment>
    <comment ref="M104" authorId="0" shapeId="0" xr:uid="{A18F725E-6009-40DA-9BF7-074CC9A9148D}">
      <text>
        <r>
          <rPr>
            <b/>
            <sz val="9"/>
            <color indexed="81"/>
            <rFont val="Tahoma"/>
            <family val="2"/>
            <charset val="238"/>
          </rPr>
          <t>Kubíková Renata:</t>
        </r>
        <r>
          <rPr>
            <sz val="9"/>
            <color indexed="81"/>
            <rFont val="Tahoma"/>
            <family val="2"/>
            <charset val="238"/>
          </rPr>
          <t xml:space="preserve">
Toto je částka, kterou může čerpat FIN v roce 2024
</t>
        </r>
      </text>
    </comment>
  </commentList>
</comments>
</file>

<file path=xl/sharedStrings.xml><?xml version="1.0" encoding="utf-8"?>
<sst xmlns="http://schemas.openxmlformats.org/spreadsheetml/2006/main" count="240" uniqueCount="118">
  <si>
    <t xml:space="preserve">PŘEHLED AKCÍ FINANCOVANÝCH Z ÚVĚRU ČESKÉ SPOŘITELNY, a. s. </t>
  </si>
  <si>
    <t>v tis. Kč</t>
  </si>
  <si>
    <t>Název akce</t>
  </si>
  <si>
    <t>Výdaje financované z úvěru ČS </t>
  </si>
  <si>
    <t>Výdaje financované z úvěru ČS</t>
  </si>
  <si>
    <t>Celkem</t>
  </si>
  <si>
    <t>číslo akce</t>
  </si>
  <si>
    <t>odbor</t>
  </si>
  <si>
    <t>AKCE SPOLUFINANCOVANÉ Z EVROPSKÝCH FINANČNÍCH ZDROJŮ REALIZOVANÉ KRAJEM</t>
  </si>
  <si>
    <t>ODVĚTVÍ KULTURY:</t>
  </si>
  <si>
    <t>Novostavba depozitáře Muzeum v Bruntále</t>
  </si>
  <si>
    <t>EP</t>
  </si>
  <si>
    <t>ODVĚTVÍ KULTURY CELKEM</t>
  </si>
  <si>
    <t>ODVĚTVÍ SOCIÁLNÍCH VĚCÍ:</t>
  </si>
  <si>
    <t>Rekonstrukce a výstavba Domova Březiny</t>
  </si>
  <si>
    <t>Zateplení a stavební úpravy správní budovy, pavilonu E a F Domova Březiny</t>
  </si>
  <si>
    <t>ODVĚTVÍ SOCIÁLNÍCH VĚCÍ CELKEM</t>
  </si>
  <si>
    <t>ODVĚTVÍ ŠKOLSTVÍ:</t>
  </si>
  <si>
    <t>Energetické úspory v ZŠ Čkalovova</t>
  </si>
  <si>
    <t>Energetické úspory v ZUŠ Klimkovice</t>
  </si>
  <si>
    <t>Energetické úspory v ZUŠ L. Janáčka Havířov</t>
  </si>
  <si>
    <t>Energetické úspory ve VOŠ zdravotnická Ostrava</t>
  </si>
  <si>
    <t>ODVĚTVÍ ŠKOLSTVÍ CELKEM</t>
  </si>
  <si>
    <t>ODVĚTVÍ ÚZEMNÍHO PLÁNOVÁNÍ A STAVEBNÍHO ŘÁDU:</t>
  </si>
  <si>
    <t>Digitálně technická mapa Moravskoslezského kraje</t>
  </si>
  <si>
    <t>ODVĚTVÍ ÚZEMNÍHO PLÁNOVÁNÍ A STAVEBNÍHO ŘÁDU CELKEM</t>
  </si>
  <si>
    <t>CELKEM ZA AKCE SPOLUFINANCOVANÉ Z EVROPSKÝCH FINANČNÍCH ZDROJŮ REALIZOVANÉ KRAJEM</t>
  </si>
  <si>
    <t> </t>
  </si>
  <si>
    <t>AKCE SPOLUFINANCOVANÉ Z EVROPSKÝCH FINANČNÍCH ZDROJŮ REALIZOVANÉ PŘÍSPĚVKOVÝMI ORGANIZACEMI KRAJE</t>
  </si>
  <si>
    <t>ODVĚTVÍ ZDRAVOTNICTVÍ:</t>
  </si>
  <si>
    <t>Rozvoj a modernizace pracovišť navazujících na urgentní příjem Slezské nemocnice v Opavě (Slezská nemocnice v Opavě, příspěvková organizace)</t>
  </si>
  <si>
    <t>ZDR</t>
  </si>
  <si>
    <t>ODVĚTVÍ ZDRAVOTNICTVÍ CELKEM</t>
  </si>
  <si>
    <t>CELKEM ZA AKCE SPOLUFINANCOVANÉ Z EVROPSKÝCH FINANČNÍCH ZDROJŮ REALIZOVANÉ PŘÍSPĚVKOVÝMI ORGANIZACEMI KRAJE</t>
  </si>
  <si>
    <t>REPRODUKCE MAJETKU KRAJE VYJMA AKCÍ SPOLUFINANCOVANÝCH Z EVROPSKÝCH FINANČNÍCH ZDROJŮ</t>
  </si>
  <si>
    <t>ODVĚTVÍ DOPRAVY:</t>
  </si>
  <si>
    <t>Rekonstrukce mostů ev. č. 486-011, 012 Hukvaldy (Správa silnic Moravskoslezského kraje, příspěvková organizace, Ostrava)</t>
  </si>
  <si>
    <t>DSH</t>
  </si>
  <si>
    <t>Rekonstrukce mostu ev. č. 4804-2 Košatka (Správa silnic Moravskoslezského kraje, příspěvková organizace, Ostrava)</t>
  </si>
  <si>
    <t>Rekonstrukce a modernizace silnice II/478, III/47811 Ostrava, ul. Mitrovická</t>
  </si>
  <si>
    <t>IM</t>
  </si>
  <si>
    <t>Letiště Leoše Janáčka Ostrava, výstavba odbavovací plochy APN S3</t>
  </si>
  <si>
    <t>Rekonstrukce vzletové a přistávací dráhy a navazujících provozních ploch Letiště Leoše Janáčka Ostrava</t>
  </si>
  <si>
    <t>ODVĚTVÍ DOPRAVY CELKEM</t>
  </si>
  <si>
    <t>Zámek Bruntál - revitalizace objektu (Muzeum v Bruntále, příspěvková organizace)</t>
  </si>
  <si>
    <t>Zámek Nová Horka - dobudování infrastruktury a zázemí (Muzeum Novojičínska, příspěvková organizace)</t>
  </si>
  <si>
    <t xml:space="preserve">Nákup budovy a pozemků ve Skotnici (Domov NaNovo, příspěvková organizace) </t>
  </si>
  <si>
    <t>Stavební úpravy budovy na ul. Rybářská 27 (Domov Bílá Opava, příspěvková organizace)</t>
  </si>
  <si>
    <t>Dům pro volnočasové aktivity seniorů se zahradním parterem (Domov Letokruhy, příspěvková organizace, Budišov nad Budišovkou)</t>
  </si>
  <si>
    <t>Nákup budov a pozemků v Opavě (Sírius, příspěvková organizace, Opava)</t>
  </si>
  <si>
    <t>Rekonstrukce budovy a spojovací chodby Máchova (Domov Duha, příspěvková organizace, Nový Jičín)</t>
  </si>
  <si>
    <t>Výstavba domova pro seniory a domova se zvláštním režimem Kopřivnice</t>
  </si>
  <si>
    <t>Rekonstrukce elektroinstalace (Mendelovo gymnázium, Opava, příspěvková organizace)</t>
  </si>
  <si>
    <t>Demolice budov a výstavba sportoviště (Střední průmyslová škola a Obchodní akademie, Bruntál, příspěvková organizace)</t>
  </si>
  <si>
    <t>Modernizace Školního statku v Opavě (Školní statek, Opava, příspěvková organizace)</t>
  </si>
  <si>
    <t>Rekonstrukce elektroinstalace hlavní budovy školy (Slezské gymnázium, Opava, příspěvková organizace)</t>
  </si>
  <si>
    <t>Rekonstrukce cvičné kuchyně v prostorách Tyršova 34, Opava (Střední škola hotelnictví a služeb a Vyšší odborná škola, Opava, příspěvková organizace)</t>
  </si>
  <si>
    <t>Stavební úpravy tělocvičny (Střední škola průmyslová, Krnov, příspěvková organiazce)</t>
  </si>
  <si>
    <t>Rekonstrukce prostor dílen (Střední průmyslová škola, Ostrava-Vítkovice, příspěvková organizace)</t>
  </si>
  <si>
    <t>Oprava izolačních vrstev střešního pláště (Střední škola prof. Zdeňka Matějčka, Ostrava-Poruba, příspěvková organizace)</t>
  </si>
  <si>
    <t>Sportovní areál na ul. Komenského, Opava (Mendelovo gymnázium, Opava, příspěvková organizace)</t>
  </si>
  <si>
    <t>Vybudování dílen pro praktické vyučování (Střední odborná škola, Frýdek-Místek, příspěvková organizace)</t>
  </si>
  <si>
    <t>Rekonstrukce objektu SŠ a domova mládeže (Střední škola společného stravování, Ostrava-Hrabůvka, příspěvková organizace)</t>
  </si>
  <si>
    <t>Rekonstrukce objektů Polského gymnázia (Polské gymnázium - Polskie Gimnazjum im. Juliusza Słowackiego, Český Těšín, příspěvková organizace)</t>
  </si>
  <si>
    <t>IM, ŠMS</t>
  </si>
  <si>
    <t>Vybavení rekonstruovaných objektů Polského gymnázia (Polské gymnázium - Polskie Gimnazjum im. Juliusza Słowackiego, Český Těšín, příspěvková organizace)</t>
  </si>
  <si>
    <t xml:space="preserve"> ŠMS</t>
  </si>
  <si>
    <t>Stavební úpravy části školy pro potřeby Vzdělávacího a výcvikového střediska a umístění sídla Správy silnic MSK v Ostravě-Zábřeh (Střední škola stavební a dřevozpracující, Ostrava, příspěvková organizace)</t>
  </si>
  <si>
    <t>Rekonstrukce školního dvora (Matiční gymnázium, Ostrava, příspěvková organizace)</t>
  </si>
  <si>
    <t>Rekonstrukce objektu na ul. B. Němcové, Opava (Střední odborné učiliště stavební, Opava, příspěvková organizace)</t>
  </si>
  <si>
    <t>Rekonstrukce školní kuchyně a výdejny (Základní škola, Ostrava - Poruba, Čkalovova 942, příspěvková organizace)</t>
  </si>
  <si>
    <t>Rekultivace vnitrobloku a zpevněné plochy (Polské gymnázium - Polskie Gimnazjum im. Juliusza Słowackiego, Český Těšín, příspěvková organizace)</t>
  </si>
  <si>
    <t>Využití objektu v Bílé (Vzdělávací a sportovní centrum, Bílá, příspěvková organizace)</t>
  </si>
  <si>
    <t>Přístavba tělocvičny (Gymnázium, Třinec, příspěvková organizace)</t>
  </si>
  <si>
    <t>Rekonstrukce střechy a zateplení fasády (Gymnázium Třinec, příspěvková organizace)</t>
  </si>
  <si>
    <t>Rekonstrukce střechy budov dílen (Střední průmyslová škola, Ostrava - Vítkovice, příspěvková organizace)</t>
  </si>
  <si>
    <t>Úpravy venkovních ploch (Mateřská školka Klíček, Karviná-Hranice, Einsteinova 2849, příspěvková organizace)</t>
  </si>
  <si>
    <t>Rekonstrukce venkovního sportovního areálu (Střední průmyslová škola, Ostrava-Vítkovice, příspěvková organizace)</t>
  </si>
  <si>
    <t>Oprava krovů a střešního pláště budov školního statku (Školní statek, Opava, příspěvková organizace)</t>
  </si>
  <si>
    <t>Výměna rozvodů vody a kanalizace (Střední průmyslová škola chemická akademika Heyrovského, Ostrava, příspěvková organizace)</t>
  </si>
  <si>
    <t>Rekonstrukce a modernizace varny (Střední průmyslová škola chemická akademika Heyrovského, Ostrava, příspěvková organizace)</t>
  </si>
  <si>
    <t>Pavilon F - stavební úpravy 1.NP pro rehabilitaci (Slezská nemocnice v Opavě, příspěvková organizace)</t>
  </si>
  <si>
    <t>Výstavba operačních sálů a dospávacího pokoje (Nemocnice s poliklinikou Karviná-Ráj, příspěvková organizace)</t>
  </si>
  <si>
    <t>Pavilon H - stavební úpravy a přístavba (Slezská nemocnice v Opavě, příspěvková organizace)</t>
  </si>
  <si>
    <t>Rekonstrukce hemodialýzy v budově S (Nemocnice ve Frýdku-Místku, příspěvková organizace)</t>
  </si>
  <si>
    <t>Rekonstrukce podkroví (Odborný léčebný ústav Metylovice - Moravskoslezské sanatorium, příspěvková organizace)</t>
  </si>
  <si>
    <t>Domov sester - přístavba výtahu a stavební úpravy (Slezská nemocnice v Opavě, příspěvková organizace)</t>
  </si>
  <si>
    <t>Nemocnice Havířov - ČOV (Nemocnice Havířov, příspěvková organizace)</t>
  </si>
  <si>
    <t>Pavilon L - stavební úpravy (Slezská nemocnice v Opavě, příspěvková organizace)</t>
  </si>
  <si>
    <t>Přístavba a nástavba rehabilitace (Nemocnice Třinec, příspěvková organizace)</t>
  </si>
  <si>
    <t>Pavilon T - stavební úpravy a přístavba odd. onkologie (Slezská nemocnice v Opavě, příspěvková organizace)</t>
  </si>
  <si>
    <t>Výstavba nadzemních koridorů (Slezská nemocnice v Opavě, příspěvková organizace)</t>
  </si>
  <si>
    <r>
      <t>Pavilon W - stavební úpravy a přístavba</t>
    </r>
    <r>
      <rPr>
        <sz val="8"/>
        <color rgb="FFFF0000"/>
        <rFont val="Tahoma"/>
        <family val="2"/>
        <charset val="238"/>
      </rPr>
      <t xml:space="preserve"> </t>
    </r>
    <r>
      <rPr>
        <sz val="8"/>
        <color rgb="FF000000"/>
        <rFont val="Tahoma"/>
        <family val="2"/>
        <charset val="238"/>
      </rPr>
      <t xml:space="preserve"> (Slezská nemocnice v Opavě, příspěvková organizace) </t>
    </r>
  </si>
  <si>
    <t>Pavilon O - Instalace systému výměny vzduchu (Slezská nemocnice v Opavě, příspěvková organizace)</t>
  </si>
  <si>
    <t>Adaptace budovy na spisovnu (Slezská nemocnice v Opavě, příspěvková organizace)</t>
  </si>
  <si>
    <t>Rekonstrukce dětského oddělení vč. DIP (Nemocnice ve Frýdku Místku, příspěvková organizace)</t>
  </si>
  <si>
    <t>Šatny pro zaměstnance v 1.PP budovy PCHO (Nemocnice ve Frýdku Místku, příspěvková organizace)</t>
  </si>
  <si>
    <t>Rekonstrukce JIP neoperačních oborů (Nemocnice ve Frýdku-Místku, příspěvková organizace )</t>
  </si>
  <si>
    <t>CELKEM ZA AKCE REPRODUKCE MAJETKU KRAJE VYJMA AKCÍ SPOLUFINANCOVANÝCH Z EVROPSKÝCH FINANČNÍCH ZDROJŮ</t>
  </si>
  <si>
    <t>CELKEM</t>
  </si>
  <si>
    <t xml:space="preserve">vyčerpáno </t>
  </si>
  <si>
    <t>vyčerpáno</t>
  </si>
  <si>
    <t>vyčerpáno zůstatek</t>
  </si>
  <si>
    <t>RIA</t>
  </si>
  <si>
    <t>zjistit EP</t>
  </si>
  <si>
    <t xml:space="preserve">ukončeno </t>
  </si>
  <si>
    <t>to je úspora na akci EP nevyčerpáno v min. roce</t>
  </si>
  <si>
    <t>nevyčerpaná část  v roce 2023</t>
  </si>
  <si>
    <t>čerpání 12.4. 2024 v tis. Kč</t>
  </si>
  <si>
    <t>úspora - nevyčerpané finance v roce 2023 a nepřeváděné - volné     v Kč</t>
  </si>
  <si>
    <t>RIA- úspora na akci</t>
  </si>
  <si>
    <t>ok</t>
  </si>
  <si>
    <t>ŠMS</t>
  </si>
  <si>
    <t>upraveno sníženo revizí 8.4. z 94 416 tis na 85 000 tis</t>
  </si>
  <si>
    <t>zůstatek na akci  k 4.2024  v tis. Kč</t>
  </si>
  <si>
    <t>3563</t>
  </si>
  <si>
    <t>RIA přesun na EP</t>
  </si>
  <si>
    <t>Rekonstrukce budovy na ulici Praskova čp. 411 v Opavě (Základní škola, Opava, Praskova 411, příspěvková organizace)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</si>
</sst>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00"/>
    <numFmt numFmtId="165" formatCode="0.00000"/>
    <numFmt numFmtId="166" formatCode="#,##0.000"/>
  </numFmts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60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b/>
      <sz val="8"/>
      <color rgb="FF000000"/>
      <name val="Tahoma"/>
      <family val="2"/>
      <charset val="238"/>
    </font>
    <font>
      <b/>
      <sz val="8"/>
      <color theme="1"/>
      <name val="Tahoma"/>
      <family val="2"/>
      <charset val="238"/>
    </font>
    <font>
      <sz val="8"/>
      <color rgb="FFFF0000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9"/>
      <color theme="1"/>
      <name val="Tahoma"/>
      <family val="2"/>
      <charset val="238"/>
    </font>
    <font>
      <sz val="10"/>
      <color theme="3" tint="0.39997558519241921"/>
      <name val="Tahoma"/>
      <family val="2"/>
      <charset val="238"/>
    </font>
    <font>
      <sz val="10"/>
      <color rgb="FFFF0000"/>
      <name val="Tahom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6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8" borderId="0" applyNumberFormat="0" applyBorder="0" applyAlignment="0" applyProtection="0"/>
    <xf numFmtId="0" fontId="16" fillId="5" borderId="0" applyNumberFormat="0" applyBorder="0" applyAlignment="0" applyProtection="0"/>
    <xf numFmtId="0" fontId="16" fillId="9" borderId="0" applyNumberFormat="0" applyBorder="0" applyAlignment="0" applyProtection="0"/>
    <xf numFmtId="0" fontId="16" fillId="11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0" borderId="0" applyNumberFormat="0" applyBorder="0" applyAlignment="0" applyProtection="0"/>
    <xf numFmtId="0" fontId="17" fillId="8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3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2" applyNumberFormat="0" applyAlignment="0" applyProtection="0"/>
    <xf numFmtId="0" fontId="20" fillId="17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22" fillId="0" borderId="0"/>
    <xf numFmtId="0" fontId="16" fillId="18" borderId="13" applyNumberFormat="0" applyFont="0" applyAlignment="0" applyProtection="0"/>
    <xf numFmtId="0" fontId="23" fillId="0" borderId="14" applyNumberFormat="0" applyFill="0" applyAlignment="0" applyProtection="0"/>
    <xf numFmtId="0" fontId="24" fillId="0" borderId="1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22" borderId="0" applyNumberFormat="0" applyBorder="0" applyAlignment="0" applyProtection="0"/>
    <xf numFmtId="0" fontId="14" fillId="0" borderId="0"/>
    <xf numFmtId="0" fontId="13" fillId="0" borderId="0"/>
    <xf numFmtId="0" fontId="14" fillId="0" borderId="0"/>
    <xf numFmtId="9" fontId="14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14" fillId="0" borderId="0">
      <alignment wrapText="1"/>
    </xf>
    <xf numFmtId="0" fontId="3" fillId="0" borderId="0"/>
    <xf numFmtId="0" fontId="2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4" fillId="0" borderId="0">
      <alignment wrapText="1"/>
    </xf>
  </cellStyleXfs>
  <cellXfs count="160">
    <xf numFmtId="0" fontId="0" fillId="0" borderId="0" xfId="0"/>
    <xf numFmtId="0" fontId="30" fillId="0" borderId="0" xfId="67" applyFont="1" applyAlignment="1">
      <alignment vertical="center"/>
    </xf>
    <xf numFmtId="0" fontId="31" fillId="0" borderId="0" xfId="74" applyFont="1" applyAlignment="1">
      <alignment vertical="center"/>
    </xf>
    <xf numFmtId="0" fontId="35" fillId="0" borderId="0" xfId="73" applyFont="1" applyAlignment="1">
      <alignment vertical="center"/>
    </xf>
    <xf numFmtId="0" fontId="35" fillId="0" borderId="0" xfId="73" applyFont="1" applyAlignment="1">
      <alignment horizontal="center" vertical="center"/>
    </xf>
    <xf numFmtId="164" fontId="35" fillId="0" borderId="0" xfId="73" applyNumberFormat="1" applyFont="1" applyAlignment="1">
      <alignment vertical="center"/>
    </xf>
    <xf numFmtId="164" fontId="35" fillId="24" borderId="0" xfId="73" applyNumberFormat="1" applyFont="1" applyFill="1" applyAlignment="1">
      <alignment vertical="center"/>
    </xf>
    <xf numFmtId="0" fontId="36" fillId="0" borderId="26" xfId="73" applyFont="1" applyBorder="1" applyAlignment="1">
      <alignment horizontal="center" vertical="center" wrapText="1"/>
    </xf>
    <xf numFmtId="49" fontId="36" fillId="0" borderId="26" xfId="73" applyNumberFormat="1" applyFont="1" applyBorder="1" applyAlignment="1">
      <alignment horizontal="center" vertical="center" wrapText="1"/>
    </xf>
    <xf numFmtId="49" fontId="36" fillId="23" borderId="26" xfId="73" applyNumberFormat="1" applyFont="1" applyFill="1" applyBorder="1" applyAlignment="1">
      <alignment horizontal="center" vertical="center" wrapText="1"/>
    </xf>
    <xf numFmtId="49" fontId="36" fillId="24" borderId="26" xfId="73" applyNumberFormat="1" applyFont="1" applyFill="1" applyBorder="1" applyAlignment="1">
      <alignment horizontal="center" vertical="center" wrapText="1"/>
    </xf>
    <xf numFmtId="0" fontId="36" fillId="0" borderId="1" xfId="73" applyFont="1" applyBorder="1" applyAlignment="1">
      <alignment vertical="center" wrapText="1"/>
    </xf>
    <xf numFmtId="0" fontId="32" fillId="0" borderId="0" xfId="74" applyFont="1" applyAlignment="1">
      <alignment vertical="center"/>
    </xf>
    <xf numFmtId="3" fontId="30" fillId="0" borderId="32" xfId="73" applyNumberFormat="1" applyFont="1" applyBorder="1" applyAlignment="1">
      <alignment vertical="center"/>
    </xf>
    <xf numFmtId="3" fontId="30" fillId="24" borderId="32" xfId="73" applyNumberFormat="1" applyFont="1" applyFill="1" applyBorder="1" applyAlignment="1">
      <alignment vertical="center"/>
    </xf>
    <xf numFmtId="3" fontId="30" fillId="25" borderId="6" xfId="73" applyNumberFormat="1" applyFont="1" applyFill="1" applyBorder="1" applyAlignment="1">
      <alignment vertical="center"/>
    </xf>
    <xf numFmtId="3" fontId="36" fillId="25" borderId="32" xfId="73" applyNumberFormat="1" applyFont="1" applyFill="1" applyBorder="1" applyAlignment="1">
      <alignment vertical="center" wrapText="1"/>
    </xf>
    <xf numFmtId="3" fontId="29" fillId="25" borderId="6" xfId="73" applyNumberFormat="1" applyFont="1" applyFill="1" applyBorder="1" applyAlignment="1">
      <alignment vertical="center"/>
    </xf>
    <xf numFmtId="0" fontId="33" fillId="0" borderId="0" xfId="74" applyFont="1" applyAlignment="1">
      <alignment vertical="center"/>
    </xf>
    <xf numFmtId="3" fontId="30" fillId="26" borderId="32" xfId="73" applyNumberFormat="1" applyFont="1" applyFill="1" applyBorder="1" applyAlignment="1">
      <alignment vertical="center"/>
    </xf>
    <xf numFmtId="3" fontId="30" fillId="26" borderId="33" xfId="73" applyNumberFormat="1" applyFont="1" applyFill="1" applyBorder="1" applyAlignment="1">
      <alignment vertical="center"/>
    </xf>
    <xf numFmtId="3" fontId="36" fillId="25" borderId="4" xfId="73" applyNumberFormat="1" applyFont="1" applyFill="1" applyBorder="1" applyAlignment="1">
      <alignment vertical="center" wrapText="1"/>
    </xf>
    <xf numFmtId="3" fontId="29" fillId="25" borderId="35" xfId="73" applyNumberFormat="1" applyFont="1" applyFill="1" applyBorder="1" applyAlignment="1">
      <alignment vertical="center"/>
    </xf>
    <xf numFmtId="3" fontId="36" fillId="25" borderId="10" xfId="73" applyNumberFormat="1" applyFont="1" applyFill="1" applyBorder="1" applyAlignment="1">
      <alignment vertical="center" wrapText="1"/>
    </xf>
    <xf numFmtId="3" fontId="29" fillId="25" borderId="9" xfId="73" applyNumberFormat="1" applyFont="1" applyFill="1" applyBorder="1" applyAlignment="1">
      <alignment vertical="center"/>
    </xf>
    <xf numFmtId="3" fontId="30" fillId="23" borderId="32" xfId="73" applyNumberFormat="1" applyFont="1" applyFill="1" applyBorder="1" applyAlignment="1">
      <alignment vertical="center" wrapText="1"/>
    </xf>
    <xf numFmtId="3" fontId="30" fillId="0" borderId="37" xfId="73" applyNumberFormat="1" applyFont="1" applyBorder="1" applyAlignment="1">
      <alignment vertical="center"/>
    </xf>
    <xf numFmtId="0" fontId="32" fillId="23" borderId="0" xfId="74" applyFont="1" applyFill="1" applyAlignment="1">
      <alignment vertical="center"/>
    </xf>
    <xf numFmtId="3" fontId="36" fillId="25" borderId="2" xfId="73" applyNumberFormat="1" applyFont="1" applyFill="1" applyBorder="1" applyAlignment="1">
      <alignment vertical="center" wrapText="1"/>
    </xf>
    <xf numFmtId="3" fontId="34" fillId="26" borderId="32" xfId="73" applyNumberFormat="1" applyFont="1" applyFill="1" applyBorder="1" applyAlignment="1">
      <alignment vertical="center" wrapText="1"/>
    </xf>
    <xf numFmtId="3" fontId="36" fillId="25" borderId="3" xfId="73" applyNumberFormat="1" applyFont="1" applyFill="1" applyBorder="1" applyAlignment="1">
      <alignment vertical="center" wrapText="1"/>
    </xf>
    <xf numFmtId="3" fontId="30" fillId="24" borderId="32" xfId="73" applyNumberFormat="1" applyFont="1" applyFill="1" applyBorder="1" applyAlignment="1">
      <alignment vertical="center" wrapText="1"/>
    </xf>
    <xf numFmtId="49" fontId="31" fillId="0" borderId="0" xfId="74" applyNumberFormat="1" applyFont="1" applyAlignment="1">
      <alignment horizontal="center" vertical="center"/>
    </xf>
    <xf numFmtId="164" fontId="31" fillId="0" borderId="0" xfId="74" applyNumberFormat="1" applyFont="1" applyAlignment="1">
      <alignment horizontal="center" vertical="center"/>
    </xf>
    <xf numFmtId="164" fontId="31" fillId="23" borderId="0" xfId="74" applyNumberFormat="1" applyFont="1" applyFill="1" applyAlignment="1">
      <alignment horizontal="center" vertical="center"/>
    </xf>
    <xf numFmtId="164" fontId="31" fillId="0" borderId="0" xfId="74" applyNumberFormat="1" applyFont="1" applyAlignment="1">
      <alignment vertical="center"/>
    </xf>
    <xf numFmtId="4" fontId="31" fillId="0" borderId="0" xfId="74" applyNumberFormat="1" applyFont="1" applyAlignment="1">
      <alignment horizontal="center" vertical="center"/>
    </xf>
    <xf numFmtId="165" fontId="31" fillId="0" borderId="0" xfId="74" applyNumberFormat="1" applyFont="1" applyAlignment="1">
      <alignment vertical="center"/>
    </xf>
    <xf numFmtId="0" fontId="36" fillId="0" borderId="22" xfId="73" applyFont="1" applyBorder="1" applyAlignment="1">
      <alignment vertical="center" wrapText="1"/>
    </xf>
    <xf numFmtId="3" fontId="37" fillId="0" borderId="0" xfId="74" applyNumberFormat="1" applyFont="1" applyAlignment="1">
      <alignment horizontal="right"/>
    </xf>
    <xf numFmtId="0" fontId="36" fillId="0" borderId="17" xfId="73" applyFont="1" applyBorder="1" applyAlignment="1">
      <alignment vertical="center" wrapText="1"/>
    </xf>
    <xf numFmtId="0" fontId="36" fillId="0" borderId="20" xfId="73" applyFont="1" applyBorder="1" applyAlignment="1">
      <alignment vertical="center" wrapText="1"/>
    </xf>
    <xf numFmtId="3" fontId="30" fillId="0" borderId="21" xfId="73" applyNumberFormat="1" applyFont="1" applyBorder="1" applyAlignment="1">
      <alignment vertical="center"/>
    </xf>
    <xf numFmtId="3" fontId="34" fillId="26" borderId="21" xfId="73" applyNumberFormat="1" applyFont="1" applyFill="1" applyBorder="1" applyAlignment="1">
      <alignment vertical="center" wrapText="1"/>
    </xf>
    <xf numFmtId="3" fontId="30" fillId="25" borderId="3" xfId="73" applyNumberFormat="1" applyFont="1" applyFill="1" applyBorder="1" applyAlignment="1">
      <alignment vertical="center"/>
    </xf>
    <xf numFmtId="166" fontId="30" fillId="0" borderId="19" xfId="73" applyNumberFormat="1" applyFont="1" applyBorder="1" applyAlignment="1">
      <alignment vertical="center" wrapText="1"/>
    </xf>
    <xf numFmtId="166" fontId="30" fillId="23" borderId="32" xfId="73" applyNumberFormat="1" applyFont="1" applyFill="1" applyBorder="1" applyAlignment="1">
      <alignment horizontal="center" vertical="center" wrapText="1"/>
    </xf>
    <xf numFmtId="166" fontId="30" fillId="0" borderId="32" xfId="73" applyNumberFormat="1" applyFont="1" applyBorder="1" applyAlignment="1">
      <alignment horizontal="center" vertical="center" wrapText="1"/>
    </xf>
    <xf numFmtId="166" fontId="30" fillId="0" borderId="32" xfId="73" applyNumberFormat="1" applyFont="1" applyBorder="1" applyAlignment="1">
      <alignment vertical="center"/>
    </xf>
    <xf numFmtId="166" fontId="30" fillId="25" borderId="6" xfId="73" applyNumberFormat="1" applyFont="1" applyFill="1" applyBorder="1" applyAlignment="1">
      <alignment vertical="center"/>
    </xf>
    <xf numFmtId="166" fontId="30" fillId="26" borderId="19" xfId="73" applyNumberFormat="1" applyFont="1" applyFill="1" applyBorder="1" applyAlignment="1">
      <alignment vertical="center" wrapText="1"/>
    </xf>
    <xf numFmtId="166" fontId="36" fillId="0" borderId="1" xfId="73" applyNumberFormat="1" applyFont="1" applyBorder="1" applyAlignment="1">
      <alignment vertical="center" wrapText="1"/>
    </xf>
    <xf numFmtId="166" fontId="36" fillId="0" borderId="22" xfId="73" applyNumberFormat="1" applyFont="1" applyBorder="1" applyAlignment="1">
      <alignment horizontal="center" vertical="center" wrapText="1"/>
    </xf>
    <xf numFmtId="166" fontId="36" fillId="0" borderId="22" xfId="73" applyNumberFormat="1" applyFont="1" applyBorder="1" applyAlignment="1">
      <alignment vertical="center" wrapText="1"/>
    </xf>
    <xf numFmtId="166" fontId="36" fillId="0" borderId="20" xfId="73" applyNumberFormat="1" applyFont="1" applyBorder="1" applyAlignment="1">
      <alignment vertical="center" wrapText="1"/>
    </xf>
    <xf numFmtId="166" fontId="36" fillId="0" borderId="16" xfId="73" applyNumberFormat="1" applyFont="1" applyBorder="1" applyAlignment="1">
      <alignment vertical="center" wrapText="1"/>
    </xf>
    <xf numFmtId="166" fontId="36" fillId="0" borderId="0" xfId="73" applyNumberFormat="1" applyFont="1" applyAlignment="1">
      <alignment horizontal="center" vertical="center" wrapText="1"/>
    </xf>
    <xf numFmtId="166" fontId="36" fillId="0" borderId="0" xfId="73" applyNumberFormat="1" applyFont="1" applyAlignment="1">
      <alignment vertical="center" wrapText="1"/>
    </xf>
    <xf numFmtId="166" fontId="36" fillId="24" borderId="0" xfId="73" applyNumberFormat="1" applyFont="1" applyFill="1" applyAlignment="1">
      <alignment vertical="center" wrapText="1"/>
    </xf>
    <xf numFmtId="166" fontId="36" fillId="0" borderId="36" xfId="73" applyNumberFormat="1" applyFont="1" applyBorder="1" applyAlignment="1">
      <alignment vertical="center" wrapText="1"/>
    </xf>
    <xf numFmtId="166" fontId="36" fillId="0" borderId="38" xfId="73" applyNumberFormat="1" applyFont="1" applyBorder="1" applyAlignment="1">
      <alignment vertical="center" wrapText="1"/>
    </xf>
    <xf numFmtId="166" fontId="30" fillId="23" borderId="19" xfId="73" applyNumberFormat="1" applyFont="1" applyFill="1" applyBorder="1" applyAlignment="1">
      <alignment vertical="center" wrapText="1"/>
    </xf>
    <xf numFmtId="166" fontId="30" fillId="24" borderId="19" xfId="73" applyNumberFormat="1" applyFont="1" applyFill="1" applyBorder="1" applyAlignment="1">
      <alignment vertical="center" wrapText="1"/>
    </xf>
    <xf numFmtId="166" fontId="30" fillId="0" borderId="37" xfId="73" applyNumberFormat="1" applyFont="1" applyBorder="1" applyAlignment="1">
      <alignment vertical="center"/>
    </xf>
    <xf numFmtId="166" fontId="36" fillId="0" borderId="31" xfId="73" applyNumberFormat="1" applyFont="1" applyBorder="1" applyAlignment="1">
      <alignment vertical="center" wrapText="1"/>
    </xf>
    <xf numFmtId="166" fontId="34" fillId="0" borderId="19" xfId="73" applyNumberFormat="1" applyFont="1" applyBorder="1" applyAlignment="1">
      <alignment vertical="center" wrapText="1"/>
    </xf>
    <xf numFmtId="166" fontId="30" fillId="0" borderId="41" xfId="73" applyNumberFormat="1" applyFont="1" applyBorder="1" applyAlignment="1">
      <alignment vertical="center" wrapText="1"/>
    </xf>
    <xf numFmtId="166" fontId="30" fillId="0" borderId="21" xfId="73" applyNumberFormat="1" applyFont="1" applyBorder="1" applyAlignment="1">
      <alignment horizontal="center" vertical="center" wrapText="1"/>
    </xf>
    <xf numFmtId="166" fontId="36" fillId="0" borderId="23" xfId="73" applyNumberFormat="1" applyFont="1" applyBorder="1" applyAlignment="1">
      <alignment vertical="center" wrapText="1"/>
    </xf>
    <xf numFmtId="166" fontId="36" fillId="24" borderId="23" xfId="73" applyNumberFormat="1" applyFont="1" applyFill="1" applyBorder="1" applyAlignment="1">
      <alignment vertical="center" wrapText="1"/>
    </xf>
    <xf numFmtId="166" fontId="36" fillId="26" borderId="25" xfId="73" applyNumberFormat="1" applyFont="1" applyFill="1" applyBorder="1" applyAlignment="1">
      <alignment vertical="center" wrapText="1"/>
    </xf>
    <xf numFmtId="166" fontId="31" fillId="0" borderId="0" xfId="74" applyNumberFormat="1" applyFont="1" applyAlignment="1">
      <alignment vertical="center"/>
    </xf>
    <xf numFmtId="4" fontId="31" fillId="0" borderId="0" xfId="74" applyNumberFormat="1" applyFont="1" applyAlignment="1">
      <alignment vertical="center"/>
    </xf>
    <xf numFmtId="166" fontId="33" fillId="0" borderId="0" xfId="74" applyNumberFormat="1" applyFont="1" applyAlignment="1">
      <alignment vertical="center"/>
    </xf>
    <xf numFmtId="49" fontId="35" fillId="0" borderId="0" xfId="73" applyNumberFormat="1" applyFont="1" applyAlignment="1">
      <alignment horizontal="center" vertical="center"/>
    </xf>
    <xf numFmtId="49" fontId="36" fillId="0" borderId="11" xfId="73" applyNumberFormat="1" applyFont="1" applyBorder="1" applyAlignment="1">
      <alignment vertical="center" wrapText="1"/>
    </xf>
    <xf numFmtId="49" fontId="36" fillId="0" borderId="22" xfId="73" applyNumberFormat="1" applyFont="1" applyBorder="1" applyAlignment="1">
      <alignment vertical="center" wrapText="1"/>
    </xf>
    <xf numFmtId="49" fontId="30" fillId="23" borderId="32" xfId="73" applyNumberFormat="1" applyFont="1" applyFill="1" applyBorder="1" applyAlignment="1">
      <alignment horizontal="center" vertical="center" wrapText="1"/>
    </xf>
    <xf numFmtId="49" fontId="36" fillId="0" borderId="22" xfId="73" applyNumberFormat="1" applyFont="1" applyBorder="1" applyAlignment="1">
      <alignment horizontal="center" vertical="center" wrapText="1"/>
    </xf>
    <xf numFmtId="49" fontId="36" fillId="0" borderId="0" xfId="73" applyNumberFormat="1" applyFont="1" applyAlignment="1">
      <alignment horizontal="center" vertical="center" wrapText="1"/>
    </xf>
    <xf numFmtId="49" fontId="34" fillId="23" borderId="32" xfId="73" applyNumberFormat="1" applyFont="1" applyFill="1" applyBorder="1" applyAlignment="1">
      <alignment horizontal="center" vertical="center" wrapText="1"/>
    </xf>
    <xf numFmtId="49" fontId="30" fillId="0" borderId="32" xfId="73" applyNumberFormat="1" applyFont="1" applyBorder="1" applyAlignment="1">
      <alignment horizontal="center" vertical="center" wrapText="1"/>
    </xf>
    <xf numFmtId="49" fontId="34" fillId="0" borderId="32" xfId="73" applyNumberFormat="1" applyFont="1" applyBorder="1" applyAlignment="1">
      <alignment horizontal="center" vertical="center" wrapText="1"/>
    </xf>
    <xf numFmtId="49" fontId="30" fillId="23" borderId="21" xfId="73" applyNumberFormat="1" applyFont="1" applyFill="1" applyBorder="1" applyAlignment="1">
      <alignment horizontal="center" vertical="center" wrapText="1"/>
    </xf>
    <xf numFmtId="49" fontId="30" fillId="24" borderId="32" xfId="73" applyNumberFormat="1" applyFont="1" applyFill="1" applyBorder="1" applyAlignment="1">
      <alignment horizontal="center" vertical="center" wrapText="1"/>
    </xf>
    <xf numFmtId="49" fontId="30" fillId="0" borderId="2" xfId="73" applyNumberFormat="1" applyFont="1" applyBorder="1" applyAlignment="1">
      <alignment horizontal="center" vertical="center" wrapText="1"/>
    </xf>
    <xf numFmtId="49" fontId="30" fillId="23" borderId="2" xfId="73" applyNumberFormat="1" applyFont="1" applyFill="1" applyBorder="1" applyAlignment="1">
      <alignment horizontal="center" vertical="center" wrapText="1"/>
    </xf>
    <xf numFmtId="0" fontId="31" fillId="0" borderId="0" xfId="74" applyFont="1" applyAlignment="1">
      <alignment vertical="center" wrapText="1"/>
    </xf>
    <xf numFmtId="0" fontId="32" fillId="0" borderId="2" xfId="74" applyFont="1" applyBorder="1" applyAlignment="1">
      <alignment vertical="center" wrapText="1"/>
    </xf>
    <xf numFmtId="0" fontId="31" fillId="0" borderId="2" xfId="74" applyFont="1" applyBorder="1" applyAlignment="1">
      <alignment vertical="center"/>
    </xf>
    <xf numFmtId="0" fontId="32" fillId="0" borderId="2" xfId="74" applyFont="1" applyBorder="1" applyAlignment="1">
      <alignment vertical="center"/>
    </xf>
    <xf numFmtId="166" fontId="31" fillId="0" borderId="2" xfId="74" applyNumberFormat="1" applyFont="1" applyBorder="1" applyAlignment="1">
      <alignment vertical="center"/>
    </xf>
    <xf numFmtId="0" fontId="33" fillId="0" borderId="2" xfId="74" applyFont="1" applyBorder="1" applyAlignment="1">
      <alignment vertical="center"/>
    </xf>
    <xf numFmtId="4" fontId="31" fillId="0" borderId="2" xfId="74" applyNumberFormat="1" applyFont="1" applyBorder="1" applyAlignment="1">
      <alignment vertical="center"/>
    </xf>
    <xf numFmtId="0" fontId="32" fillId="23" borderId="2" xfId="74" applyFont="1" applyFill="1" applyBorder="1" applyAlignment="1">
      <alignment vertical="center"/>
    </xf>
    <xf numFmtId="4" fontId="31" fillId="29" borderId="2" xfId="74" applyNumberFormat="1" applyFont="1" applyFill="1" applyBorder="1" applyAlignment="1">
      <alignment vertical="center"/>
    </xf>
    <xf numFmtId="166" fontId="31" fillId="29" borderId="2" xfId="74" applyNumberFormat="1" applyFont="1" applyFill="1" applyBorder="1" applyAlignment="1">
      <alignment vertical="center"/>
    </xf>
    <xf numFmtId="164" fontId="31" fillId="0" borderId="0" xfId="74" applyNumberFormat="1" applyFont="1" applyAlignment="1">
      <alignment vertical="center" wrapText="1"/>
    </xf>
    <xf numFmtId="164" fontId="31" fillId="23" borderId="0" xfId="74" applyNumberFormat="1" applyFont="1" applyFill="1" applyAlignment="1">
      <alignment horizontal="left" vertical="center" wrapText="1"/>
    </xf>
    <xf numFmtId="4" fontId="32" fillId="0" borderId="43" xfId="74" applyNumberFormat="1" applyFont="1" applyBorder="1" applyAlignment="1">
      <alignment vertical="center"/>
    </xf>
    <xf numFmtId="4" fontId="31" fillId="28" borderId="43" xfId="74" applyNumberFormat="1" applyFont="1" applyFill="1" applyBorder="1" applyAlignment="1">
      <alignment vertical="center"/>
    </xf>
    <xf numFmtId="4" fontId="31" fillId="23" borderId="43" xfId="74" applyNumberFormat="1" applyFont="1" applyFill="1" applyBorder="1" applyAlignment="1">
      <alignment vertical="center"/>
    </xf>
    <xf numFmtId="166" fontId="42" fillId="0" borderId="2" xfId="74" applyNumberFormat="1" applyFont="1" applyBorder="1" applyAlignment="1">
      <alignment vertical="center"/>
    </xf>
    <xf numFmtId="4" fontId="43" fillId="0" borderId="0" xfId="74" applyNumberFormat="1" applyFont="1" applyAlignment="1">
      <alignment vertical="center"/>
    </xf>
    <xf numFmtId="0" fontId="42" fillId="0" borderId="2" xfId="74" applyFont="1" applyBorder="1" applyAlignment="1">
      <alignment vertical="center" wrapText="1"/>
    </xf>
    <xf numFmtId="0" fontId="41" fillId="30" borderId="2" xfId="74" applyFont="1" applyFill="1" applyBorder="1" applyAlignment="1">
      <alignment horizontal="left" vertical="center" wrapText="1"/>
    </xf>
    <xf numFmtId="166" fontId="30" fillId="24" borderId="32" xfId="73" applyNumberFormat="1" applyFont="1" applyFill="1" applyBorder="1" applyAlignment="1">
      <alignment vertical="center" wrapText="1"/>
    </xf>
    <xf numFmtId="0" fontId="32" fillId="0" borderId="21" xfId="74" applyFont="1" applyBorder="1" applyAlignment="1">
      <alignment horizontal="left" vertical="center" wrapText="1"/>
    </xf>
    <xf numFmtId="0" fontId="31" fillId="0" borderId="21" xfId="74" applyFont="1" applyBorder="1" applyAlignment="1">
      <alignment vertical="center"/>
    </xf>
    <xf numFmtId="0" fontId="32" fillId="0" borderId="21" xfId="74" applyFont="1" applyBorder="1" applyAlignment="1">
      <alignment vertical="center"/>
    </xf>
    <xf numFmtId="4" fontId="31" fillId="0" borderId="21" xfId="74" applyNumberFormat="1" applyFont="1" applyBorder="1" applyAlignment="1">
      <alignment vertical="center"/>
    </xf>
    <xf numFmtId="4" fontId="42" fillId="0" borderId="21" xfId="74" applyNumberFormat="1" applyFont="1" applyBorder="1" applyAlignment="1">
      <alignment vertical="center"/>
    </xf>
    <xf numFmtId="0" fontId="32" fillId="0" borderId="21" xfId="74" applyFont="1" applyBorder="1" applyAlignment="1">
      <alignment horizontal="right" vertical="center"/>
    </xf>
    <xf numFmtId="0" fontId="33" fillId="0" borderId="21" xfId="74" applyFont="1" applyBorder="1" applyAlignment="1">
      <alignment vertical="center"/>
    </xf>
    <xf numFmtId="0" fontId="32" fillId="0" borderId="21" xfId="74" applyFont="1" applyBorder="1" applyAlignment="1">
      <alignment horizontal="right" vertical="center" wrapText="1"/>
    </xf>
    <xf numFmtId="3" fontId="30" fillId="27" borderId="33" xfId="73" applyNumberFormat="1" applyFont="1" applyFill="1" applyBorder="1" applyAlignment="1">
      <alignment vertical="center"/>
    </xf>
    <xf numFmtId="1" fontId="30" fillId="0" borderId="32" xfId="73" applyNumberFormat="1" applyFont="1" applyBorder="1" applyAlignment="1">
      <alignment vertical="center"/>
    </xf>
    <xf numFmtId="1" fontId="30" fillId="27" borderId="33" xfId="73" applyNumberFormat="1" applyFont="1" applyFill="1" applyBorder="1" applyAlignment="1">
      <alignment vertical="center"/>
    </xf>
    <xf numFmtId="1" fontId="30" fillId="25" borderId="6" xfId="73" applyNumberFormat="1" applyFont="1" applyFill="1" applyBorder="1" applyAlignment="1">
      <alignment vertical="center"/>
    </xf>
    <xf numFmtId="1" fontId="29" fillId="25" borderId="6" xfId="73" applyNumberFormat="1" applyFont="1" applyFill="1" applyBorder="1" applyAlignment="1">
      <alignment vertical="center"/>
    </xf>
    <xf numFmtId="1" fontId="30" fillId="23" borderId="32" xfId="73" applyNumberFormat="1" applyFont="1" applyFill="1" applyBorder="1" applyAlignment="1">
      <alignment vertical="center" wrapText="1"/>
    </xf>
    <xf numFmtId="1" fontId="36" fillId="25" borderId="37" xfId="73" applyNumberFormat="1" applyFont="1" applyFill="1" applyBorder="1" applyAlignment="1">
      <alignment vertical="center" wrapText="1"/>
    </xf>
    <xf numFmtId="1" fontId="36" fillId="25" borderId="10" xfId="73" applyNumberFormat="1" applyFont="1" applyFill="1" applyBorder="1" applyAlignment="1">
      <alignment vertical="center" wrapText="1"/>
    </xf>
    <xf numFmtId="1" fontId="29" fillId="25" borderId="9" xfId="73" applyNumberFormat="1" applyFont="1" applyFill="1" applyBorder="1" applyAlignment="1">
      <alignment vertical="center"/>
    </xf>
    <xf numFmtId="3" fontId="36" fillId="25" borderId="20" xfId="73" applyNumberFormat="1" applyFont="1" applyFill="1" applyBorder="1" applyAlignment="1">
      <alignment vertical="center" wrapText="1"/>
    </xf>
    <xf numFmtId="3" fontId="36" fillId="25" borderId="42" xfId="73" applyNumberFormat="1" applyFont="1" applyFill="1" applyBorder="1" applyAlignment="1">
      <alignment vertical="center" wrapText="1"/>
    </xf>
    <xf numFmtId="3" fontId="30" fillId="24" borderId="31" xfId="73" applyNumberFormat="1" applyFont="1" applyFill="1" applyBorder="1" applyAlignment="1">
      <alignment vertical="center" wrapText="1"/>
    </xf>
    <xf numFmtId="3" fontId="30" fillId="23" borderId="21" xfId="73" applyNumberFormat="1" applyFont="1" applyFill="1" applyBorder="1" applyAlignment="1">
      <alignment vertical="center" wrapText="1"/>
    </xf>
    <xf numFmtId="3" fontId="30" fillId="24" borderId="2" xfId="73" applyNumberFormat="1" applyFont="1" applyFill="1" applyBorder="1" applyAlignment="1">
      <alignment vertical="center" wrapText="1"/>
    </xf>
    <xf numFmtId="3" fontId="30" fillId="24" borderId="5" xfId="73" applyNumberFormat="1" applyFont="1" applyFill="1" applyBorder="1" applyAlignment="1">
      <alignment vertical="center" wrapText="1"/>
    </xf>
    <xf numFmtId="14" fontId="31" fillId="0" borderId="0" xfId="74" applyNumberFormat="1" applyFont="1" applyAlignment="1">
      <alignment horizontal="left" vertical="center"/>
    </xf>
    <xf numFmtId="166" fontId="29" fillId="25" borderId="24" xfId="73" applyNumberFormat="1" applyFont="1" applyFill="1" applyBorder="1" applyAlignment="1">
      <alignment horizontal="center" vertical="center" wrapText="1"/>
    </xf>
    <xf numFmtId="166" fontId="29" fillId="25" borderId="17" xfId="73" applyNumberFormat="1" applyFont="1" applyFill="1" applyBorder="1" applyAlignment="1">
      <alignment horizontal="center" vertical="center" wrapText="1"/>
    </xf>
    <xf numFmtId="166" fontId="29" fillId="25" borderId="18" xfId="73" applyNumberFormat="1" applyFont="1" applyFill="1" applyBorder="1" applyAlignment="1">
      <alignment horizontal="center" vertical="center" wrapText="1"/>
    </xf>
    <xf numFmtId="0" fontId="15" fillId="0" borderId="0" xfId="73" applyFont="1" applyAlignment="1">
      <alignment horizontal="center" vertical="center" wrapText="1"/>
    </xf>
    <xf numFmtId="0" fontId="36" fillId="0" borderId="28" xfId="73" applyFont="1" applyBorder="1" applyAlignment="1">
      <alignment horizontal="center" vertical="center" wrapText="1"/>
    </xf>
    <xf numFmtId="0" fontId="36" fillId="0" borderId="29" xfId="73" applyFont="1" applyBorder="1" applyAlignment="1">
      <alignment horizontal="center" vertical="center" wrapText="1"/>
    </xf>
    <xf numFmtId="3" fontId="37" fillId="0" borderId="11" xfId="74" applyNumberFormat="1" applyFont="1" applyBorder="1" applyAlignment="1">
      <alignment horizontal="center" vertical="center" wrapText="1"/>
    </xf>
    <xf numFmtId="3" fontId="37" fillId="0" borderId="17" xfId="74" applyNumberFormat="1" applyFont="1" applyBorder="1" applyAlignment="1">
      <alignment horizontal="center" vertical="center" wrapText="1"/>
    </xf>
    <xf numFmtId="3" fontId="37" fillId="0" borderId="39" xfId="74" applyNumberFormat="1" applyFont="1" applyBorder="1" applyAlignment="1">
      <alignment horizontal="center" vertical="center" wrapText="1"/>
    </xf>
    <xf numFmtId="164" fontId="36" fillId="25" borderId="40" xfId="73" applyNumberFormat="1" applyFont="1" applyFill="1" applyBorder="1" applyAlignment="1">
      <alignment horizontal="center" vertical="center" wrapText="1"/>
    </xf>
    <xf numFmtId="164" fontId="36" fillId="25" borderId="36" xfId="73" applyNumberFormat="1" applyFont="1" applyFill="1" applyBorder="1" applyAlignment="1">
      <alignment horizontal="center" vertical="center" wrapText="1"/>
    </xf>
    <xf numFmtId="0" fontId="29" fillId="25" borderId="24" xfId="73" applyFont="1" applyFill="1" applyBorder="1" applyAlignment="1">
      <alignment horizontal="center" vertical="center" wrapText="1"/>
    </xf>
    <xf numFmtId="0" fontId="29" fillId="25" borderId="17" xfId="73" applyFont="1" applyFill="1" applyBorder="1" applyAlignment="1">
      <alignment horizontal="center" vertical="center" wrapText="1"/>
    </xf>
    <xf numFmtId="0" fontId="29" fillId="25" borderId="18" xfId="73" applyFont="1" applyFill="1" applyBorder="1" applyAlignment="1">
      <alignment horizontal="center" vertical="center" wrapText="1"/>
    </xf>
    <xf numFmtId="166" fontId="36" fillId="25" borderId="1" xfId="73" applyNumberFormat="1" applyFont="1" applyFill="1" applyBorder="1" applyAlignment="1">
      <alignment horizontal="left" vertical="center" wrapText="1"/>
    </xf>
    <xf numFmtId="166" fontId="36" fillId="25" borderId="22" xfId="73" applyNumberFormat="1" applyFont="1" applyFill="1" applyBorder="1" applyAlignment="1">
      <alignment horizontal="left" vertical="center" wrapText="1"/>
    </xf>
    <xf numFmtId="166" fontId="36" fillId="25" borderId="21" xfId="73" applyNumberFormat="1" applyFont="1" applyFill="1" applyBorder="1" applyAlignment="1">
      <alignment horizontal="left" vertical="center" wrapText="1"/>
    </xf>
    <xf numFmtId="166" fontId="36" fillId="0" borderId="1" xfId="73" applyNumberFormat="1" applyFont="1" applyBorder="1" applyAlignment="1">
      <alignment horizontal="left" vertical="center" wrapText="1"/>
    </xf>
    <xf numFmtId="166" fontId="36" fillId="0" borderId="22" xfId="73" applyNumberFormat="1" applyFont="1" applyBorder="1" applyAlignment="1">
      <alignment horizontal="left" vertical="center" wrapText="1"/>
    </xf>
    <xf numFmtId="166" fontId="36" fillId="0" borderId="20" xfId="73" applyNumberFormat="1" applyFont="1" applyBorder="1" applyAlignment="1">
      <alignment horizontal="left" vertical="center" wrapText="1"/>
    </xf>
    <xf numFmtId="166" fontId="36" fillId="25" borderId="7" xfId="73" applyNumberFormat="1" applyFont="1" applyFill="1" applyBorder="1" applyAlignment="1">
      <alignment horizontal="left" vertical="center" wrapText="1"/>
    </xf>
    <xf numFmtId="166" fontId="36" fillId="25" borderId="34" xfId="73" applyNumberFormat="1" applyFont="1" applyFill="1" applyBorder="1" applyAlignment="1">
      <alignment horizontal="left" vertical="center" wrapText="1"/>
    </xf>
    <xf numFmtId="166" fontId="36" fillId="25" borderId="26" xfId="73" applyNumberFormat="1" applyFont="1" applyFill="1" applyBorder="1" applyAlignment="1">
      <alignment horizontal="left" vertical="center" wrapText="1"/>
    </xf>
    <xf numFmtId="166" fontId="36" fillId="25" borderId="8" xfId="73" applyNumberFormat="1" applyFont="1" applyFill="1" applyBorder="1" applyAlignment="1">
      <alignment horizontal="left" vertical="center" wrapText="1"/>
    </xf>
    <xf numFmtId="166" fontId="36" fillId="25" borderId="23" xfId="73" applyNumberFormat="1" applyFont="1" applyFill="1" applyBorder="1" applyAlignment="1">
      <alignment horizontal="left" vertical="center" wrapText="1"/>
    </xf>
    <xf numFmtId="166" fontId="36" fillId="25" borderId="27" xfId="73" applyNumberFormat="1" applyFont="1" applyFill="1" applyBorder="1" applyAlignment="1">
      <alignment horizontal="left" vertical="center" wrapText="1"/>
    </xf>
    <xf numFmtId="166" fontId="36" fillId="25" borderId="30" xfId="73" applyNumberFormat="1" applyFont="1" applyFill="1" applyBorder="1" applyAlignment="1">
      <alignment horizontal="left" vertical="center" wrapText="1"/>
    </xf>
    <xf numFmtId="166" fontId="36" fillId="25" borderId="31" xfId="73" applyNumberFormat="1" applyFont="1" applyFill="1" applyBorder="1" applyAlignment="1">
      <alignment horizontal="left" vertical="center" wrapText="1"/>
    </xf>
    <xf numFmtId="166" fontId="36" fillId="25" borderId="32" xfId="73" applyNumberFormat="1" applyFont="1" applyFill="1" applyBorder="1" applyAlignment="1">
      <alignment horizontal="left" vertical="center" wrapText="1"/>
    </xf>
  </cellXfs>
  <cellStyles count="76">
    <cellStyle name="20 % – Zvýraznění1 2" xfId="1" xr:uid="{00000000-0005-0000-0000-000000000000}"/>
    <cellStyle name="20 % – Zvýraznění2 2" xfId="2" xr:uid="{00000000-0005-0000-0000-000001000000}"/>
    <cellStyle name="20 % – Zvýraznění3 2" xfId="3" xr:uid="{00000000-0005-0000-0000-000002000000}"/>
    <cellStyle name="20 % – Zvýraznění4 2" xfId="4" xr:uid="{00000000-0005-0000-0000-000003000000}"/>
    <cellStyle name="20 % - zvýraznenie1" xfId="5" xr:uid="{00000000-0005-0000-0000-000004000000}"/>
    <cellStyle name="20 % - zvýraznenie2" xfId="6" xr:uid="{00000000-0005-0000-0000-000005000000}"/>
    <cellStyle name="20 % - zvýraznenie3" xfId="7" xr:uid="{00000000-0005-0000-0000-000006000000}"/>
    <cellStyle name="20 % - zvýraznenie4" xfId="8" xr:uid="{00000000-0005-0000-0000-000007000000}"/>
    <cellStyle name="20 % - zvýraznenie5" xfId="9" xr:uid="{00000000-0005-0000-0000-000008000000}"/>
    <cellStyle name="20 % - zvýraznenie6" xfId="10" xr:uid="{00000000-0005-0000-0000-000009000000}"/>
    <cellStyle name="40 % – Zvýraznění3 2" xfId="11" xr:uid="{00000000-0005-0000-0000-00000A000000}"/>
    <cellStyle name="40 % - zvýraznenie1" xfId="12" xr:uid="{00000000-0005-0000-0000-00000B000000}"/>
    <cellStyle name="40 % - zvýraznenie2" xfId="13" xr:uid="{00000000-0005-0000-0000-00000C000000}"/>
    <cellStyle name="40 % - zvýraznenie3" xfId="14" xr:uid="{00000000-0005-0000-0000-00000D000000}"/>
    <cellStyle name="40 % - zvýraznenie4" xfId="15" xr:uid="{00000000-0005-0000-0000-00000E000000}"/>
    <cellStyle name="40 % - zvýraznenie5" xfId="16" xr:uid="{00000000-0005-0000-0000-00000F000000}"/>
    <cellStyle name="40 % - zvýraznenie6" xfId="17" xr:uid="{00000000-0005-0000-0000-000010000000}"/>
    <cellStyle name="60 % – Zvýraznění3 2" xfId="18" xr:uid="{00000000-0005-0000-0000-000011000000}"/>
    <cellStyle name="60 % – Zvýraznění4 2" xfId="19" xr:uid="{00000000-0005-0000-0000-000012000000}"/>
    <cellStyle name="60 % – Zvýraznění6 2" xfId="20" xr:uid="{00000000-0005-0000-0000-000013000000}"/>
    <cellStyle name="60 % - zvýraznenie1" xfId="21" xr:uid="{00000000-0005-0000-0000-000014000000}"/>
    <cellStyle name="60 % - zvýraznenie2" xfId="22" xr:uid="{00000000-0005-0000-0000-000015000000}"/>
    <cellStyle name="60 % - zvýraznenie3" xfId="23" xr:uid="{00000000-0005-0000-0000-000016000000}"/>
    <cellStyle name="60 % - zvýraznenie4" xfId="24" xr:uid="{00000000-0005-0000-0000-000017000000}"/>
    <cellStyle name="60 % - zvýraznenie5" xfId="25" xr:uid="{00000000-0005-0000-0000-000018000000}"/>
    <cellStyle name="60 % - zvýraznenie6" xfId="26" xr:uid="{00000000-0005-0000-0000-000019000000}"/>
    <cellStyle name="Dobrá" xfId="27" xr:uid="{00000000-0005-0000-0000-00001A000000}"/>
    <cellStyle name="Kontrolná bunka" xfId="28" xr:uid="{00000000-0005-0000-0000-00001B000000}"/>
    <cellStyle name="Neutrálna" xfId="29" xr:uid="{00000000-0005-0000-0000-00001C000000}"/>
    <cellStyle name="Normal_Zlin II table for road scheme submission_new environmental wording" xfId="30" xr:uid="{00000000-0005-0000-0000-00001D000000}"/>
    <cellStyle name="normálne 2" xfId="31" xr:uid="{00000000-0005-0000-0000-00001E000000}"/>
    <cellStyle name="normálne_2007 až 2013 august 2008" xfId="32" xr:uid="{00000000-0005-0000-0000-00001F000000}"/>
    <cellStyle name="Normální" xfId="0" builtinId="0"/>
    <cellStyle name="Normální 10" xfId="66" xr:uid="{7EAF0ABE-876C-4C5B-B00B-70889B2124CC}"/>
    <cellStyle name="Normální 11" xfId="68" xr:uid="{F7AE1ADC-9B54-4DC4-A6B2-E2ADA9011DC9}"/>
    <cellStyle name="Normální 11 2" xfId="72" xr:uid="{039BCD91-C183-4AD6-A5C8-078A0BE6A60B}"/>
    <cellStyle name="Normální 11 2 2" xfId="74" xr:uid="{E46A8DE9-27FD-42CC-8C1A-F096BF8E570C}"/>
    <cellStyle name="Normální 12" xfId="73" xr:uid="{486D8B68-9DB3-4AA4-99BA-F7F7C165C224}"/>
    <cellStyle name="normální 2" xfId="33" xr:uid="{00000000-0005-0000-0000-000021000000}"/>
    <cellStyle name="Normální 2 2" xfId="67" xr:uid="{F07B7566-2064-476F-9BB1-37E620009519}"/>
    <cellStyle name="Normální 2 3" xfId="75" xr:uid="{38D4FC36-D0CE-4984-921C-78CE5539CF8C}"/>
    <cellStyle name="Normální 3" xfId="34" xr:uid="{00000000-0005-0000-0000-000022000000}"/>
    <cellStyle name="Normální 3 2" xfId="52" xr:uid="{00000000-0005-0000-0000-000023000000}"/>
    <cellStyle name="Normální 3 2 2" xfId="69" xr:uid="{2978BC99-9761-4968-A077-8A6669D5BDC4}"/>
    <cellStyle name="Normální 4" xfId="35" xr:uid="{00000000-0005-0000-0000-000024000000}"/>
    <cellStyle name="Normální 4 2" xfId="50" xr:uid="{00000000-0005-0000-0000-000025000000}"/>
    <cellStyle name="Normální 5" xfId="36" xr:uid="{00000000-0005-0000-0000-000026000000}"/>
    <cellStyle name="Normální 6" xfId="51" xr:uid="{00000000-0005-0000-0000-000027000000}"/>
    <cellStyle name="Normální 6 2" xfId="54" xr:uid="{00000000-0005-0000-0000-000028000000}"/>
    <cellStyle name="Normální 6 2 2" xfId="57" xr:uid="{00000000-0005-0000-0000-000029000000}"/>
    <cellStyle name="Normální 6 2 2 2" xfId="58" xr:uid="{00000000-0005-0000-0000-00002A000000}"/>
    <cellStyle name="Normální 6 2 2 2 2" xfId="71" xr:uid="{9AC4A17D-5287-4BF3-BE35-E8222A5F5422}"/>
    <cellStyle name="Normální 6 3" xfId="55" xr:uid="{00000000-0005-0000-0000-00002B000000}"/>
    <cellStyle name="Normální 6 3 2" xfId="56" xr:uid="{00000000-0005-0000-0000-00002C000000}"/>
    <cellStyle name="Normální 6 3 2 2" xfId="59" xr:uid="{00000000-0005-0000-0000-00002D000000}"/>
    <cellStyle name="Normální 6 3 2 3" xfId="61" xr:uid="{00000000-0005-0000-0000-00002E000000}"/>
    <cellStyle name="Normální 6 3 3" xfId="60" xr:uid="{00000000-0005-0000-0000-00002F000000}"/>
    <cellStyle name="Normální 6 3 4" xfId="64" xr:uid="{599A6705-45E3-4F72-8ECF-8CE826AAF7BB}"/>
    <cellStyle name="Normální 6 3 4 2" xfId="70" xr:uid="{99050197-9413-4201-86D9-AAECD267F702}"/>
    <cellStyle name="Normální 7" xfId="62" xr:uid="{9E7DB6FB-4C1D-4ED6-B264-95259FBE2035}"/>
    <cellStyle name="Normální 8" xfId="63" xr:uid="{FB0AF3BA-E015-424E-A45A-C9EA63B1A35F}"/>
    <cellStyle name="Normální 9" xfId="65" xr:uid="{117EABE7-3638-4C5B-BBAD-BDFD6F941C33}"/>
    <cellStyle name="Poznámka 2" xfId="37" xr:uid="{00000000-0005-0000-0000-000035000000}"/>
    <cellStyle name="Prepojená bunka" xfId="38" xr:uid="{00000000-0005-0000-0000-000036000000}"/>
    <cellStyle name="Procenta 2" xfId="53" xr:uid="{00000000-0005-0000-0000-000037000000}"/>
    <cellStyle name="Spolu" xfId="39" xr:uid="{00000000-0005-0000-0000-000038000000}"/>
    <cellStyle name="Text upozornenia" xfId="40" xr:uid="{00000000-0005-0000-0000-000039000000}"/>
    <cellStyle name="Titul" xfId="41" xr:uid="{00000000-0005-0000-0000-00003A000000}"/>
    <cellStyle name="Vysvetľujúci text" xfId="42" xr:uid="{00000000-0005-0000-0000-00003B000000}"/>
    <cellStyle name="Zlá" xfId="43" xr:uid="{00000000-0005-0000-0000-00003C000000}"/>
    <cellStyle name="Zvýraznenie1" xfId="44" xr:uid="{00000000-0005-0000-0000-00003D000000}"/>
    <cellStyle name="Zvýraznenie2" xfId="45" xr:uid="{00000000-0005-0000-0000-00003E000000}"/>
    <cellStyle name="Zvýraznenie3" xfId="46" xr:uid="{00000000-0005-0000-0000-00003F000000}"/>
    <cellStyle name="Zvýraznenie4" xfId="47" xr:uid="{00000000-0005-0000-0000-000040000000}"/>
    <cellStyle name="Zvýraznenie5" xfId="48" xr:uid="{00000000-0005-0000-0000-000041000000}"/>
    <cellStyle name="Zvýraznenie6" xfId="49" xr:uid="{00000000-0005-0000-0000-000042000000}"/>
  </cellStyles>
  <dxfs count="0"/>
  <tableStyles count="0" defaultTableStyle="TableStyleMedium2" defaultPivotStyle="PivotStyleLight16"/>
  <colors>
    <mruColors>
      <color rgb="FFFFFF99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ankova2598/AppData/Local/Microsoft/Windows/INetCache/Content.Outlook/P53HJRV8/ORJ14_P&#345;ehled%20projekt&#367;%202014-2020_n&#225;vrh%202020_nov&#25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ýdaje dle STAVU"/>
      <sheetName val="Výdaje podle odvětví"/>
      <sheetName val="Příjmy podle odvětví"/>
      <sheetName val="ZÁLOHOVÉ PROJEKTY"/>
      <sheetName val="rozhodnutí"/>
      <sheetName val="rekapitulace"/>
      <sheetName val="Projekty P.O."/>
      <sheetName val="Udržitelnost podle odvětví"/>
      <sheetName val="List1"/>
      <sheetName val="neinvestiční projekty"/>
      <sheetName val="usnesení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A8205E-52DF-4515-8614-329B9B6E458F}">
  <dimension ref="A1:P108"/>
  <sheetViews>
    <sheetView tabSelected="1" zoomScale="99" zoomScaleNormal="99" workbookViewId="0">
      <selection activeCell="A109" sqref="A109"/>
    </sheetView>
  </sheetViews>
  <sheetFormatPr defaultColWidth="9.140625" defaultRowHeight="12.75" x14ac:dyDescent="0.2"/>
  <cols>
    <col min="1" max="1" width="50.7109375" style="2" customWidth="1"/>
    <col min="2" max="2" width="10.5703125" style="32" bestFit="1" customWidth="1"/>
    <col min="3" max="3" width="9.140625" style="32"/>
    <col min="4" max="5" width="12.7109375" style="33" customWidth="1"/>
    <col min="6" max="6" width="16.42578125" style="34" customWidth="1"/>
    <col min="7" max="7" width="16.140625" style="35" customWidth="1"/>
    <col min="8" max="8" width="18.85546875" style="35" customWidth="1"/>
    <col min="9" max="10" width="17.5703125" style="2" hidden="1" customWidth="1"/>
    <col min="11" max="11" width="22.5703125" style="2" hidden="1" customWidth="1"/>
    <col min="12" max="12" width="30.85546875" style="2" hidden="1" customWidth="1"/>
    <col min="13" max="16" width="17.5703125" style="2" hidden="1" customWidth="1"/>
    <col min="17" max="16384" width="9.140625" style="2"/>
  </cols>
  <sheetData>
    <row r="1" spans="1:13" ht="23.25" customHeight="1" x14ac:dyDescent="0.2">
      <c r="A1" s="134" t="s">
        <v>0</v>
      </c>
      <c r="B1" s="134"/>
      <c r="C1" s="134"/>
      <c r="D1" s="134"/>
      <c r="E1" s="134"/>
      <c r="F1" s="134"/>
      <c r="G1" s="134"/>
      <c r="H1" s="134"/>
    </row>
    <row r="2" spans="1:13" s="1" customFormat="1" ht="12.75" customHeight="1" thickBot="1" x14ac:dyDescent="0.2">
      <c r="A2" s="3"/>
      <c r="B2" s="74"/>
      <c r="C2" s="4"/>
      <c r="D2" s="5"/>
      <c r="E2" s="5"/>
      <c r="F2" s="6"/>
      <c r="G2" s="5"/>
      <c r="H2" s="39" t="s">
        <v>1</v>
      </c>
    </row>
    <row r="3" spans="1:13" ht="33.75" customHeight="1" x14ac:dyDescent="0.2">
      <c r="A3" s="135" t="s">
        <v>2</v>
      </c>
      <c r="B3" s="75" t="s">
        <v>3</v>
      </c>
      <c r="C3" s="40"/>
      <c r="D3" s="137" t="s">
        <v>4</v>
      </c>
      <c r="E3" s="138"/>
      <c r="F3" s="138"/>
      <c r="G3" s="139"/>
      <c r="H3" s="140" t="s">
        <v>5</v>
      </c>
      <c r="K3" s="87"/>
    </row>
    <row r="4" spans="1:13" ht="54.75" customHeight="1" thickBot="1" x14ac:dyDescent="0.25">
      <c r="A4" s="136"/>
      <c r="B4" s="8" t="s">
        <v>6</v>
      </c>
      <c r="C4" s="7" t="s">
        <v>7</v>
      </c>
      <c r="D4" s="8">
        <v>2021</v>
      </c>
      <c r="E4" s="9">
        <v>2022</v>
      </c>
      <c r="F4" s="10">
        <v>2023</v>
      </c>
      <c r="G4" s="10">
        <v>2024</v>
      </c>
      <c r="H4" s="141"/>
      <c r="I4" s="107" t="s">
        <v>108</v>
      </c>
      <c r="J4" s="105" t="s">
        <v>114</v>
      </c>
      <c r="K4" s="88" t="s">
        <v>109</v>
      </c>
    </row>
    <row r="5" spans="1:13" ht="21" customHeight="1" x14ac:dyDescent="0.2">
      <c r="A5" s="142" t="s">
        <v>8</v>
      </c>
      <c r="B5" s="143"/>
      <c r="C5" s="143"/>
      <c r="D5" s="143"/>
      <c r="E5" s="143"/>
      <c r="F5" s="143"/>
      <c r="G5" s="143"/>
      <c r="H5" s="144"/>
      <c r="I5" s="108"/>
      <c r="J5" s="89"/>
      <c r="K5" s="89"/>
    </row>
    <row r="6" spans="1:13" s="12" customFormat="1" ht="18" customHeight="1" x14ac:dyDescent="0.2">
      <c r="A6" s="11" t="s">
        <v>9</v>
      </c>
      <c r="B6" s="76"/>
      <c r="C6" s="38"/>
      <c r="D6" s="38"/>
      <c r="E6" s="38"/>
      <c r="F6" s="38"/>
      <c r="G6" s="38"/>
      <c r="H6" s="41"/>
      <c r="I6" s="109"/>
      <c r="J6" s="90"/>
      <c r="K6" s="90"/>
    </row>
    <row r="7" spans="1:13" ht="15" customHeight="1" x14ac:dyDescent="0.2">
      <c r="A7" s="45" t="s">
        <v>10</v>
      </c>
      <c r="B7" s="77">
        <v>3555</v>
      </c>
      <c r="C7" s="47" t="s">
        <v>11</v>
      </c>
      <c r="D7" s="13">
        <v>0</v>
      </c>
      <c r="E7" s="13">
        <v>0</v>
      </c>
      <c r="F7" s="14">
        <v>0</v>
      </c>
      <c r="G7" s="115">
        <v>15850</v>
      </c>
      <c r="H7" s="15">
        <f>D7+E7+F7+G7</f>
        <v>15850</v>
      </c>
      <c r="I7" s="110">
        <v>0</v>
      </c>
      <c r="J7" s="102">
        <f>G7-I7</f>
        <v>15850</v>
      </c>
      <c r="K7" s="89"/>
      <c r="L7" s="2" t="s">
        <v>104</v>
      </c>
    </row>
    <row r="8" spans="1:13" ht="19.899999999999999" customHeight="1" x14ac:dyDescent="0.2">
      <c r="A8" s="65" t="s">
        <v>44</v>
      </c>
      <c r="B8" s="80" t="s">
        <v>115</v>
      </c>
      <c r="C8" s="47" t="s">
        <v>11</v>
      </c>
      <c r="D8" s="13">
        <v>375.1</v>
      </c>
      <c r="E8" s="13">
        <v>0</v>
      </c>
      <c r="F8" s="31">
        <v>0</v>
      </c>
      <c r="G8" s="115">
        <v>45000</v>
      </c>
      <c r="H8" s="15">
        <f>D8+E8+F8+G8</f>
        <v>45375.1</v>
      </c>
      <c r="I8" s="110">
        <v>265.577</v>
      </c>
      <c r="J8" s="91">
        <f>G8-I8</f>
        <v>44734.423000000003</v>
      </c>
      <c r="K8" s="92"/>
      <c r="L8" s="18" t="s">
        <v>116</v>
      </c>
    </row>
    <row r="9" spans="1:13" s="18" customFormat="1" ht="15.95" customHeight="1" x14ac:dyDescent="0.2">
      <c r="A9" s="145" t="s">
        <v>12</v>
      </c>
      <c r="B9" s="146"/>
      <c r="C9" s="147"/>
      <c r="D9" s="16">
        <f>SUM(D7+D8)</f>
        <v>375.1</v>
      </c>
      <c r="E9" s="16">
        <f>SUM(E7)</f>
        <v>0</v>
      </c>
      <c r="F9" s="16">
        <f>SUM(F7)</f>
        <v>0</v>
      </c>
      <c r="G9" s="16">
        <f>SUM(G7+G8)</f>
        <v>60850</v>
      </c>
      <c r="H9" s="17">
        <f>H7+H8</f>
        <v>61225.1</v>
      </c>
      <c r="I9" s="110"/>
      <c r="J9" s="92"/>
      <c r="K9" s="92"/>
    </row>
    <row r="10" spans="1:13" s="12" customFormat="1" ht="18" customHeight="1" x14ac:dyDescent="0.2">
      <c r="A10" s="148" t="s">
        <v>13</v>
      </c>
      <c r="B10" s="149"/>
      <c r="C10" s="149"/>
      <c r="D10" s="149"/>
      <c r="E10" s="149"/>
      <c r="F10" s="149"/>
      <c r="G10" s="149"/>
      <c r="H10" s="150"/>
      <c r="I10" s="110"/>
      <c r="J10" s="90"/>
      <c r="K10" s="90"/>
    </row>
    <row r="11" spans="1:13" ht="15" customHeight="1" x14ac:dyDescent="0.2">
      <c r="A11" s="50" t="s">
        <v>14</v>
      </c>
      <c r="B11" s="77">
        <v>3402</v>
      </c>
      <c r="C11" s="47" t="s">
        <v>11</v>
      </c>
      <c r="D11" s="13">
        <v>5576.1411900000003</v>
      </c>
      <c r="E11" s="13">
        <v>35366.094799999999</v>
      </c>
      <c r="F11" s="19">
        <v>26198.03052</v>
      </c>
      <c r="G11" s="115">
        <f>108000+23574.02</f>
        <v>131574.01999999999</v>
      </c>
      <c r="H11" s="15">
        <f>D11+E11+F11+G11</f>
        <v>198714.28651000001</v>
      </c>
      <c r="I11" s="111">
        <v>5398</v>
      </c>
      <c r="J11" s="102">
        <f>G11-I11</f>
        <v>126176.01999999999</v>
      </c>
      <c r="K11" s="91"/>
      <c r="L11" s="2" t="s">
        <v>104</v>
      </c>
      <c r="M11" s="103"/>
    </row>
    <row r="12" spans="1:13" s="18" customFormat="1" ht="24" customHeight="1" x14ac:dyDescent="0.2">
      <c r="A12" s="45" t="s">
        <v>15</v>
      </c>
      <c r="B12" s="77">
        <v>3425</v>
      </c>
      <c r="C12" s="47" t="s">
        <v>11</v>
      </c>
      <c r="D12" s="13">
        <v>3541.7672400000001</v>
      </c>
      <c r="E12" s="13">
        <v>15139.03263</v>
      </c>
      <c r="F12" s="19">
        <v>8057.9306100000003</v>
      </c>
      <c r="G12" s="115">
        <f>10000+13765.26</f>
        <v>23765.260000000002</v>
      </c>
      <c r="H12" s="15">
        <f>D12+E12+F12+G12</f>
        <v>50503.99048</v>
      </c>
      <c r="I12" s="111">
        <v>211.57400000000001</v>
      </c>
      <c r="J12" s="102">
        <f>G12-I12</f>
        <v>23553.686000000002</v>
      </c>
      <c r="K12" s="92"/>
      <c r="L12" s="2" t="s">
        <v>104</v>
      </c>
      <c r="M12" s="103"/>
    </row>
    <row r="13" spans="1:13" s="18" customFormat="1" ht="15.95" customHeight="1" x14ac:dyDescent="0.2">
      <c r="A13" s="145" t="s">
        <v>16</v>
      </c>
      <c r="B13" s="146"/>
      <c r="C13" s="147"/>
      <c r="D13" s="16">
        <f>SUM(D11:D12)</f>
        <v>9117.9084299999995</v>
      </c>
      <c r="E13" s="16">
        <f t="shared" ref="E13:F13" si="0">SUM(E11:E12)</f>
        <v>50505.12743</v>
      </c>
      <c r="F13" s="16">
        <f t="shared" si="0"/>
        <v>34255.961130000003</v>
      </c>
      <c r="G13" s="16">
        <f>SUM(G11:G12)</f>
        <v>155339.28</v>
      </c>
      <c r="H13" s="17">
        <f>SUM(H11:H12)</f>
        <v>249218.27699000001</v>
      </c>
      <c r="I13" s="110"/>
      <c r="J13" s="92"/>
      <c r="K13" s="92"/>
    </row>
    <row r="14" spans="1:13" s="12" customFormat="1" ht="18" customHeight="1" x14ac:dyDescent="0.2">
      <c r="A14" s="51" t="s">
        <v>17</v>
      </c>
      <c r="B14" s="78"/>
      <c r="C14" s="52"/>
      <c r="D14" s="53"/>
      <c r="E14" s="53"/>
      <c r="F14" s="53"/>
      <c r="G14" s="53"/>
      <c r="H14" s="54"/>
      <c r="I14" s="110"/>
      <c r="J14" s="90"/>
      <c r="K14" s="90"/>
    </row>
    <row r="15" spans="1:13" ht="15" customHeight="1" x14ac:dyDescent="0.2">
      <c r="A15" s="45" t="s">
        <v>18</v>
      </c>
      <c r="B15" s="77">
        <v>3445</v>
      </c>
      <c r="C15" s="47" t="s">
        <v>11</v>
      </c>
      <c r="D15" s="13">
        <v>0</v>
      </c>
      <c r="E15" s="13">
        <v>12240.953</v>
      </c>
      <c r="F15" s="20">
        <v>12328.640310000001</v>
      </c>
      <c r="G15" s="115">
        <v>0</v>
      </c>
      <c r="H15" s="15">
        <f>D15+E15+F15+G15</f>
        <v>24569.59331</v>
      </c>
      <c r="I15" s="110" t="s">
        <v>105</v>
      </c>
      <c r="J15" s="91">
        <v>0</v>
      </c>
      <c r="K15" s="95">
        <v>700399.68999999948</v>
      </c>
      <c r="L15" s="2" t="s">
        <v>106</v>
      </c>
    </row>
    <row r="16" spans="1:13" s="18" customFormat="1" ht="15" customHeight="1" x14ac:dyDescent="0.2">
      <c r="A16" s="45" t="s">
        <v>19</v>
      </c>
      <c r="B16" s="77">
        <v>3450</v>
      </c>
      <c r="C16" s="47" t="s">
        <v>11</v>
      </c>
      <c r="D16" s="13">
        <v>0</v>
      </c>
      <c r="E16" s="13">
        <v>1146.6377500000001</v>
      </c>
      <c r="F16" s="20">
        <v>8824.6635800000004</v>
      </c>
      <c r="G16" s="115">
        <v>0</v>
      </c>
      <c r="H16" s="15">
        <f t="shared" ref="H16:H17" si="1">D16+E16+F16+G16</f>
        <v>9971.3013300000002</v>
      </c>
      <c r="I16" s="110" t="s">
        <v>105</v>
      </c>
      <c r="J16" s="91">
        <v>0</v>
      </c>
      <c r="K16" s="95">
        <v>16.419999999925494</v>
      </c>
      <c r="L16" s="2" t="s">
        <v>106</v>
      </c>
    </row>
    <row r="17" spans="1:12" s="18" customFormat="1" ht="15" customHeight="1" x14ac:dyDescent="0.2">
      <c r="A17" s="45" t="s">
        <v>20</v>
      </c>
      <c r="B17" s="77">
        <v>3448</v>
      </c>
      <c r="C17" s="47" t="s">
        <v>11</v>
      </c>
      <c r="D17" s="13">
        <v>0</v>
      </c>
      <c r="E17" s="13">
        <v>10946.249320000001</v>
      </c>
      <c r="F17" s="20">
        <v>10274.137570000001</v>
      </c>
      <c r="G17" s="115">
        <v>0</v>
      </c>
      <c r="H17" s="15">
        <f t="shared" si="1"/>
        <v>21220.386890000002</v>
      </c>
      <c r="I17" s="110" t="s">
        <v>105</v>
      </c>
      <c r="J17" s="91">
        <v>0</v>
      </c>
      <c r="K17" s="95">
        <v>12.429999999701977</v>
      </c>
      <c r="L17" s="2" t="s">
        <v>106</v>
      </c>
    </row>
    <row r="18" spans="1:12" s="18" customFormat="1" ht="15" customHeight="1" x14ac:dyDescent="0.2">
      <c r="A18" s="45" t="s">
        <v>21</v>
      </c>
      <c r="B18" s="77">
        <v>3449</v>
      </c>
      <c r="C18" s="47" t="s">
        <v>11</v>
      </c>
      <c r="D18" s="13">
        <v>0</v>
      </c>
      <c r="E18" s="13">
        <v>59.375120000000003</v>
      </c>
      <c r="F18" s="20">
        <v>47626.047400000003</v>
      </c>
      <c r="G18" s="115">
        <v>0</v>
      </c>
      <c r="H18" s="15">
        <f>D18+E18+F18+G18</f>
        <v>47685.42252</v>
      </c>
      <c r="I18" s="110" t="s">
        <v>105</v>
      </c>
      <c r="J18" s="91">
        <v>0</v>
      </c>
      <c r="K18" s="95">
        <v>3156572.6000000015</v>
      </c>
      <c r="L18" s="2" t="s">
        <v>106</v>
      </c>
    </row>
    <row r="19" spans="1:12" s="18" customFormat="1" ht="15.95" customHeight="1" x14ac:dyDescent="0.2">
      <c r="A19" s="145" t="s">
        <v>22</v>
      </c>
      <c r="B19" s="146"/>
      <c r="C19" s="147"/>
      <c r="D19" s="16">
        <f>SUM(D15:D18)</f>
        <v>0</v>
      </c>
      <c r="E19" s="16">
        <f>SUM(E15:E18)</f>
        <v>24393.215189999999</v>
      </c>
      <c r="F19" s="16">
        <f>SUM(F15:F18)</f>
        <v>79053.488860000012</v>
      </c>
      <c r="G19" s="16">
        <f t="shared" ref="G19" si="2">SUM(G15:G18)</f>
        <v>0</v>
      </c>
      <c r="H19" s="17">
        <f>SUM(H15:H18)</f>
        <v>103446.70405</v>
      </c>
      <c r="I19" s="110"/>
      <c r="J19" s="92"/>
      <c r="K19" s="93"/>
      <c r="L19" s="2"/>
    </row>
    <row r="20" spans="1:12" s="12" customFormat="1" ht="18" customHeight="1" x14ac:dyDescent="0.2">
      <c r="A20" s="51" t="s">
        <v>23</v>
      </c>
      <c r="B20" s="78"/>
      <c r="C20" s="52"/>
      <c r="D20" s="53"/>
      <c r="E20" s="53"/>
      <c r="F20" s="53"/>
      <c r="G20" s="53"/>
      <c r="H20" s="54"/>
      <c r="I20" s="110"/>
      <c r="J20" s="90"/>
      <c r="K20" s="93"/>
      <c r="L20" s="2"/>
    </row>
    <row r="21" spans="1:12" ht="15" customHeight="1" x14ac:dyDescent="0.2">
      <c r="A21" s="45" t="s">
        <v>24</v>
      </c>
      <c r="B21" s="77">
        <v>3468</v>
      </c>
      <c r="C21" s="47" t="s">
        <v>11</v>
      </c>
      <c r="D21" s="13">
        <v>0</v>
      </c>
      <c r="E21" s="13">
        <v>5994.8141100000003</v>
      </c>
      <c r="F21" s="20">
        <v>26793.193759999998</v>
      </c>
      <c r="G21" s="115">
        <v>0</v>
      </c>
      <c r="H21" s="15">
        <f>D21+E21+F21+G21</f>
        <v>32788.007870000001</v>
      </c>
      <c r="I21" s="110" t="s">
        <v>105</v>
      </c>
      <c r="J21" s="91">
        <v>0</v>
      </c>
      <c r="K21" s="95">
        <v>154276.23999999836</v>
      </c>
      <c r="L21" s="2" t="s">
        <v>106</v>
      </c>
    </row>
    <row r="22" spans="1:12" s="18" customFormat="1" ht="15.95" customHeight="1" thickBot="1" x14ac:dyDescent="0.25">
      <c r="A22" s="151" t="s">
        <v>25</v>
      </c>
      <c r="B22" s="152"/>
      <c r="C22" s="153"/>
      <c r="D22" s="21">
        <v>0</v>
      </c>
      <c r="E22" s="21">
        <f>E21</f>
        <v>5994.8141100000003</v>
      </c>
      <c r="F22" s="21">
        <f>F21</f>
        <v>26793.193759999998</v>
      </c>
      <c r="G22" s="21">
        <v>0</v>
      </c>
      <c r="H22" s="22">
        <f>H21</f>
        <v>32788.007870000001</v>
      </c>
      <c r="I22" s="110"/>
      <c r="J22" s="92"/>
      <c r="K22" s="92"/>
      <c r="L22" s="2"/>
    </row>
    <row r="23" spans="1:12" s="12" customFormat="1" ht="25.5" customHeight="1" thickBot="1" x14ac:dyDescent="0.25">
      <c r="A23" s="154" t="s">
        <v>26</v>
      </c>
      <c r="B23" s="155"/>
      <c r="C23" s="156"/>
      <c r="D23" s="23">
        <f>SUM(D9+D13+D19+D22)</f>
        <v>9493.0084299999999</v>
      </c>
      <c r="E23" s="23">
        <f t="shared" ref="E23:F23" si="3">SUM(E9+E13+E19+E22)</f>
        <v>80893.156730000002</v>
      </c>
      <c r="F23" s="23">
        <f t="shared" si="3"/>
        <v>140102.64375000002</v>
      </c>
      <c r="G23" s="23">
        <f>SUM(G9+G13+G19+G22)</f>
        <v>216189.28</v>
      </c>
      <c r="H23" s="24">
        <f>SUM(H9+H13+H19+H22)</f>
        <v>446678.08891000005</v>
      </c>
      <c r="I23" s="110"/>
      <c r="J23" s="90"/>
      <c r="K23" s="90"/>
    </row>
    <row r="24" spans="1:12" s="12" customFormat="1" ht="13.5" thickBot="1" x14ac:dyDescent="0.25">
      <c r="A24" s="55" t="s">
        <v>27</v>
      </c>
      <c r="B24" s="79"/>
      <c r="C24" s="56"/>
      <c r="D24" s="57"/>
      <c r="E24" s="57"/>
      <c r="F24" s="58" t="s">
        <v>27</v>
      </c>
      <c r="G24" s="57"/>
      <c r="H24" s="59"/>
      <c r="I24" s="110"/>
      <c r="J24" s="90"/>
      <c r="K24" s="90"/>
    </row>
    <row r="25" spans="1:12" s="12" customFormat="1" ht="21" customHeight="1" x14ac:dyDescent="0.2">
      <c r="A25" s="131" t="s">
        <v>28</v>
      </c>
      <c r="B25" s="132"/>
      <c r="C25" s="132"/>
      <c r="D25" s="132"/>
      <c r="E25" s="132"/>
      <c r="F25" s="132"/>
      <c r="G25" s="132"/>
      <c r="H25" s="133"/>
      <c r="I25" s="110"/>
      <c r="J25" s="90"/>
      <c r="K25" s="90"/>
    </row>
    <row r="26" spans="1:12" s="12" customFormat="1" ht="18" customHeight="1" x14ac:dyDescent="0.2">
      <c r="A26" s="51" t="s">
        <v>29</v>
      </c>
      <c r="B26" s="76"/>
      <c r="C26" s="53"/>
      <c r="D26" s="53"/>
      <c r="E26" s="53"/>
      <c r="F26" s="53"/>
      <c r="G26" s="53"/>
      <c r="H26" s="54"/>
      <c r="I26" s="110"/>
      <c r="J26" s="90"/>
      <c r="K26" s="90"/>
    </row>
    <row r="27" spans="1:12" ht="34.5" customHeight="1" x14ac:dyDescent="0.2">
      <c r="A27" s="45" t="s">
        <v>30</v>
      </c>
      <c r="B27" s="80">
        <v>7056</v>
      </c>
      <c r="C27" s="47" t="s">
        <v>31</v>
      </c>
      <c r="D27" s="116">
        <v>0</v>
      </c>
      <c r="E27" s="116">
        <v>0</v>
      </c>
      <c r="F27" s="120">
        <v>0</v>
      </c>
      <c r="G27" s="117">
        <v>15000</v>
      </c>
      <c r="H27" s="118">
        <f>D27+E27+F27+G27</f>
        <v>15000</v>
      </c>
      <c r="I27" s="111">
        <v>15000</v>
      </c>
      <c r="J27" s="104">
        <v>0</v>
      </c>
      <c r="K27" s="89"/>
    </row>
    <row r="28" spans="1:12" s="18" customFormat="1" ht="15.75" customHeight="1" thickBot="1" x14ac:dyDescent="0.25">
      <c r="A28" s="151" t="s">
        <v>32</v>
      </c>
      <c r="B28" s="152"/>
      <c r="C28" s="153"/>
      <c r="D28" s="121">
        <f t="shared" ref="D28:E28" si="4">SUM(D27)</f>
        <v>0</v>
      </c>
      <c r="E28" s="121">
        <f t="shared" si="4"/>
        <v>0</v>
      </c>
      <c r="F28" s="121">
        <f>SUM(F27)</f>
        <v>0</v>
      </c>
      <c r="G28" s="121">
        <f>SUM(G27)</f>
        <v>15000</v>
      </c>
      <c r="H28" s="119">
        <f>H27</f>
        <v>15000</v>
      </c>
      <c r="I28" s="110"/>
      <c r="J28" s="92"/>
      <c r="K28" s="92"/>
    </row>
    <row r="29" spans="1:12" s="18" customFormat="1" ht="36.75" customHeight="1" thickBot="1" x14ac:dyDescent="0.25">
      <c r="A29" s="154" t="s">
        <v>33</v>
      </c>
      <c r="B29" s="155"/>
      <c r="C29" s="156"/>
      <c r="D29" s="122">
        <f t="shared" ref="D29:E29" si="5">D28</f>
        <v>0</v>
      </c>
      <c r="E29" s="122">
        <f t="shared" si="5"/>
        <v>0</v>
      </c>
      <c r="F29" s="122">
        <f>F28</f>
        <v>0</v>
      </c>
      <c r="G29" s="122">
        <f>G28</f>
        <v>15000</v>
      </c>
      <c r="H29" s="123">
        <f>H28</f>
        <v>15000</v>
      </c>
      <c r="I29" s="110"/>
      <c r="J29" s="92"/>
      <c r="K29" s="92"/>
    </row>
    <row r="30" spans="1:12" s="18" customFormat="1" ht="13.5" thickBot="1" x14ac:dyDescent="0.25">
      <c r="A30" s="55" t="s">
        <v>27</v>
      </c>
      <c r="B30" s="79"/>
      <c r="C30" s="56"/>
      <c r="D30" s="57"/>
      <c r="E30" s="57"/>
      <c r="F30" s="58" t="s">
        <v>27</v>
      </c>
      <c r="G30" s="57"/>
      <c r="H30" s="60"/>
      <c r="I30" s="110"/>
      <c r="J30" s="92"/>
      <c r="K30" s="92"/>
    </row>
    <row r="31" spans="1:12" s="18" customFormat="1" ht="21" customHeight="1" x14ac:dyDescent="0.2">
      <c r="A31" s="131" t="s">
        <v>34</v>
      </c>
      <c r="B31" s="132"/>
      <c r="C31" s="132"/>
      <c r="D31" s="132"/>
      <c r="E31" s="132"/>
      <c r="F31" s="132"/>
      <c r="G31" s="132"/>
      <c r="H31" s="133"/>
      <c r="I31" s="110"/>
      <c r="J31" s="92"/>
      <c r="K31" s="92"/>
    </row>
    <row r="32" spans="1:12" s="18" customFormat="1" ht="18" customHeight="1" x14ac:dyDescent="0.2">
      <c r="A32" s="51" t="s">
        <v>35</v>
      </c>
      <c r="B32" s="76"/>
      <c r="C32" s="53"/>
      <c r="D32" s="53"/>
      <c r="E32" s="53"/>
      <c r="F32" s="53"/>
      <c r="G32" s="53"/>
      <c r="H32" s="54"/>
      <c r="I32" s="110"/>
      <c r="J32" s="92"/>
      <c r="K32" s="92"/>
    </row>
    <row r="33" spans="1:13" s="12" customFormat="1" ht="24.75" customHeight="1" x14ac:dyDescent="0.2">
      <c r="A33" s="61" t="s">
        <v>36</v>
      </c>
      <c r="B33" s="77">
        <v>4190</v>
      </c>
      <c r="C33" s="47" t="s">
        <v>37</v>
      </c>
      <c r="D33" s="13">
        <v>0</v>
      </c>
      <c r="E33" s="13">
        <v>26500</v>
      </c>
      <c r="F33" s="31">
        <v>65500</v>
      </c>
      <c r="G33" s="115">
        <v>0</v>
      </c>
      <c r="H33" s="15">
        <f>D33+E33+F33+G33</f>
        <v>92000</v>
      </c>
      <c r="I33" s="112" t="s">
        <v>101</v>
      </c>
      <c r="J33" s="89">
        <v>0</v>
      </c>
      <c r="K33" s="90"/>
    </row>
    <row r="34" spans="1:13" ht="22.5" customHeight="1" x14ac:dyDescent="0.2">
      <c r="A34" s="45" t="s">
        <v>38</v>
      </c>
      <c r="B34" s="77">
        <v>4192</v>
      </c>
      <c r="C34" s="47" t="s">
        <v>37</v>
      </c>
      <c r="D34" s="13">
        <v>0</v>
      </c>
      <c r="E34" s="13">
        <v>60000</v>
      </c>
      <c r="F34" s="126">
        <v>0</v>
      </c>
      <c r="G34" s="115">
        <v>0</v>
      </c>
      <c r="H34" s="15">
        <f t="shared" ref="H34" si="6">D34+E34+F34+G34</f>
        <v>60000</v>
      </c>
      <c r="I34" s="112" t="s">
        <v>101</v>
      </c>
      <c r="J34" s="89">
        <v>0</v>
      </c>
      <c r="K34" s="89"/>
    </row>
    <row r="35" spans="1:13" s="18" customFormat="1" ht="24" customHeight="1" x14ac:dyDescent="0.2">
      <c r="A35" s="45" t="s">
        <v>39</v>
      </c>
      <c r="B35" s="81">
        <v>4079</v>
      </c>
      <c r="C35" s="47" t="s">
        <v>40</v>
      </c>
      <c r="D35" s="13">
        <v>0</v>
      </c>
      <c r="E35" s="13">
        <v>0</v>
      </c>
      <c r="F35" s="31">
        <v>71120.187760000001</v>
      </c>
      <c r="G35" s="115">
        <v>7795.11</v>
      </c>
      <c r="H35" s="15">
        <f>D35+E35+F35+G35</f>
        <v>78915.297760000001</v>
      </c>
      <c r="I35" s="110">
        <v>7795.1080000000002</v>
      </c>
      <c r="J35" s="91">
        <f>G35-I35</f>
        <v>1.9999999994979589E-3</v>
      </c>
      <c r="K35" s="92"/>
      <c r="L35" s="73" t="s">
        <v>110</v>
      </c>
    </row>
    <row r="36" spans="1:13" s="18" customFormat="1" ht="15" customHeight="1" x14ac:dyDescent="0.2">
      <c r="A36" s="50" t="s">
        <v>41</v>
      </c>
      <c r="B36" s="77">
        <v>4081</v>
      </c>
      <c r="C36" s="47" t="s">
        <v>40</v>
      </c>
      <c r="D36" s="13">
        <v>0</v>
      </c>
      <c r="E36" s="13">
        <v>421.08</v>
      </c>
      <c r="F36" s="31">
        <v>10138.989729999999</v>
      </c>
      <c r="G36" s="115">
        <f>191777-247+66917.93+39000-622.72-275.28</f>
        <v>296549.93</v>
      </c>
      <c r="H36" s="15">
        <f>D36+E36+F36+G36</f>
        <v>307109.99972999998</v>
      </c>
      <c r="I36" s="110">
        <v>857.28499999999997</v>
      </c>
      <c r="J36" s="91">
        <f>G36-I36</f>
        <v>295692.64500000002</v>
      </c>
      <c r="K36" s="92"/>
      <c r="L36" s="18" t="s">
        <v>103</v>
      </c>
    </row>
    <row r="37" spans="1:13" s="27" customFormat="1" ht="24.75" customHeight="1" x14ac:dyDescent="0.2">
      <c r="A37" s="62" t="s">
        <v>42</v>
      </c>
      <c r="B37" s="77">
        <v>5954</v>
      </c>
      <c r="C37" s="46" t="s">
        <v>40</v>
      </c>
      <c r="D37" s="26">
        <v>0</v>
      </c>
      <c r="E37" s="13">
        <v>23024.390660000001</v>
      </c>
      <c r="F37" s="31">
        <v>0</v>
      </c>
      <c r="G37" s="115">
        <v>0</v>
      </c>
      <c r="H37" s="15">
        <f>D37+E37+F37+G37</f>
        <v>23024.390660000001</v>
      </c>
      <c r="I37" s="110">
        <v>0</v>
      </c>
      <c r="J37" s="91">
        <f>G37-I37</f>
        <v>0</v>
      </c>
      <c r="K37" s="94"/>
      <c r="L37" s="18" t="s">
        <v>103</v>
      </c>
    </row>
    <row r="38" spans="1:13" ht="15.95" customHeight="1" x14ac:dyDescent="0.2">
      <c r="A38" s="145" t="s">
        <v>43</v>
      </c>
      <c r="B38" s="146"/>
      <c r="C38" s="147"/>
      <c r="D38" s="125">
        <f t="shared" ref="D38:F38" si="7" xml:space="preserve"> SUM(D33:D37)</f>
        <v>0</v>
      </c>
      <c r="E38" s="28">
        <f t="shared" si="7"/>
        <v>109945.47066000001</v>
      </c>
      <c r="F38" s="28">
        <f t="shared" si="7"/>
        <v>146759.17749</v>
      </c>
      <c r="G38" s="28">
        <f xml:space="preserve"> SUM(G33:G37)</f>
        <v>304345.03999999998</v>
      </c>
      <c r="H38" s="30">
        <f xml:space="preserve"> SUM(H33:H37)</f>
        <v>561049.68815000006</v>
      </c>
      <c r="I38" s="110"/>
      <c r="J38" s="92"/>
      <c r="K38" s="89"/>
    </row>
    <row r="39" spans="1:13" s="18" customFormat="1" ht="15.95" customHeight="1" x14ac:dyDescent="0.2">
      <c r="A39" s="51" t="s">
        <v>9</v>
      </c>
      <c r="B39" s="76"/>
      <c r="C39" s="53"/>
      <c r="D39" s="64"/>
      <c r="E39" s="53"/>
      <c r="F39" s="53"/>
      <c r="G39" s="53"/>
      <c r="H39" s="54"/>
      <c r="I39" s="110"/>
      <c r="J39" s="92"/>
      <c r="K39" s="92"/>
    </row>
    <row r="40" spans="1:13" s="18" customFormat="1" ht="24.75" customHeight="1" x14ac:dyDescent="0.2">
      <c r="A40" s="65" t="s">
        <v>45</v>
      </c>
      <c r="B40" s="82">
        <v>5748</v>
      </c>
      <c r="C40" s="47" t="s">
        <v>40</v>
      </c>
      <c r="D40" s="63">
        <v>615</v>
      </c>
      <c r="E40" s="48">
        <v>89.54</v>
      </c>
      <c r="F40" s="106">
        <v>18525.506860000001</v>
      </c>
      <c r="G40" s="115">
        <v>31784.953140000001</v>
      </c>
      <c r="H40" s="49">
        <f>D40+E40+F40+G40</f>
        <v>51015</v>
      </c>
      <c r="I40" s="110">
        <v>6537.8670000000002</v>
      </c>
      <c r="J40" s="91">
        <f>G40-I40</f>
        <v>25247.086139999999</v>
      </c>
      <c r="K40" s="92"/>
      <c r="L40" s="18" t="s">
        <v>103</v>
      </c>
    </row>
    <row r="41" spans="1:13" s="18" customFormat="1" ht="15.95" customHeight="1" x14ac:dyDescent="0.2">
      <c r="A41" s="145" t="s">
        <v>12</v>
      </c>
      <c r="B41" s="146"/>
      <c r="C41" s="147"/>
      <c r="D41" s="125">
        <f>SUM(D40:D40)</f>
        <v>615</v>
      </c>
      <c r="E41" s="28">
        <f>SUM(E40:E40)</f>
        <v>89.54</v>
      </c>
      <c r="F41" s="28">
        <f>SUM(F40:F40)</f>
        <v>18525.506860000001</v>
      </c>
      <c r="G41" s="28">
        <f>G40</f>
        <v>31784.953140000001</v>
      </c>
      <c r="H41" s="124">
        <f>SUM(H40:H40)</f>
        <v>51015</v>
      </c>
      <c r="I41" s="110"/>
      <c r="J41" s="92"/>
      <c r="K41" s="92"/>
    </row>
    <row r="42" spans="1:13" s="18" customFormat="1" ht="18" customHeight="1" x14ac:dyDescent="0.2">
      <c r="A42" s="51" t="s">
        <v>13</v>
      </c>
      <c r="B42" s="76"/>
      <c r="C42" s="53"/>
      <c r="D42" s="64"/>
      <c r="E42" s="53"/>
      <c r="F42" s="53"/>
      <c r="G42" s="53"/>
      <c r="H42" s="54"/>
      <c r="I42" s="113"/>
      <c r="J42" s="92"/>
      <c r="K42" s="92"/>
    </row>
    <row r="43" spans="1:13" s="18" customFormat="1" ht="24.75" customHeight="1" x14ac:dyDescent="0.2">
      <c r="A43" s="45" t="s">
        <v>46</v>
      </c>
      <c r="B43" s="77">
        <v>4051</v>
      </c>
      <c r="C43" s="47" t="s">
        <v>40</v>
      </c>
      <c r="D43" s="13">
        <v>11814</v>
      </c>
      <c r="E43" s="29">
        <v>0</v>
      </c>
      <c r="F43" s="31">
        <v>0</v>
      </c>
      <c r="G43" s="115">
        <v>0</v>
      </c>
      <c r="H43" s="15">
        <f>D43+E43+F43+G43</f>
        <v>11814</v>
      </c>
      <c r="I43" s="112" t="s">
        <v>101</v>
      </c>
      <c r="J43" s="92">
        <v>0</v>
      </c>
      <c r="K43" s="92"/>
    </row>
    <row r="44" spans="1:13" s="12" customFormat="1" ht="24.75" customHeight="1" x14ac:dyDescent="0.2">
      <c r="A44" s="45" t="s">
        <v>47</v>
      </c>
      <c r="B44" s="77">
        <v>5851</v>
      </c>
      <c r="C44" s="47" t="s">
        <v>40</v>
      </c>
      <c r="D44" s="13">
        <v>6329.8834699999998</v>
      </c>
      <c r="E44" s="29">
        <v>0</v>
      </c>
      <c r="F44" s="31">
        <v>0</v>
      </c>
      <c r="G44" s="115">
        <v>0</v>
      </c>
      <c r="H44" s="15">
        <f t="shared" ref="H44:H48" si="8">D44+E44+F44+G44</f>
        <v>6329.8834699999998</v>
      </c>
      <c r="I44" s="112" t="s">
        <v>101</v>
      </c>
      <c r="J44" s="89">
        <v>0</v>
      </c>
      <c r="K44" s="90"/>
    </row>
    <row r="45" spans="1:13" ht="23.25" customHeight="1" x14ac:dyDescent="0.2">
      <c r="A45" s="45" t="s">
        <v>48</v>
      </c>
      <c r="B45" s="77">
        <v>5957</v>
      </c>
      <c r="C45" s="47" t="s">
        <v>40</v>
      </c>
      <c r="D45" s="13">
        <v>12143.58058</v>
      </c>
      <c r="E45" s="29">
        <v>1042.1151</v>
      </c>
      <c r="F45" s="31">
        <v>0</v>
      </c>
      <c r="G45" s="115">
        <v>0</v>
      </c>
      <c r="H45" s="15">
        <f t="shared" si="8"/>
        <v>13185.695680000001</v>
      </c>
      <c r="I45" s="112" t="s">
        <v>101</v>
      </c>
      <c r="J45" s="89">
        <v>0</v>
      </c>
      <c r="K45" s="89"/>
    </row>
    <row r="46" spans="1:13" ht="24" customHeight="1" x14ac:dyDescent="0.2">
      <c r="A46" s="45" t="s">
        <v>49</v>
      </c>
      <c r="B46" s="77">
        <v>4139</v>
      </c>
      <c r="C46" s="47" t="s">
        <v>40</v>
      </c>
      <c r="D46" s="13">
        <v>10650</v>
      </c>
      <c r="E46" s="29">
        <v>0</v>
      </c>
      <c r="F46" s="31">
        <v>2850</v>
      </c>
      <c r="G46" s="115">
        <v>0</v>
      </c>
      <c r="H46" s="15">
        <f t="shared" si="8"/>
        <v>13500</v>
      </c>
      <c r="I46" s="112" t="s">
        <v>101</v>
      </c>
      <c r="J46" s="89">
        <v>0</v>
      </c>
      <c r="K46" s="89"/>
    </row>
    <row r="47" spans="1:13" ht="24.75" customHeight="1" x14ac:dyDescent="0.2">
      <c r="A47" s="66" t="s">
        <v>50</v>
      </c>
      <c r="B47" s="83">
        <v>5758</v>
      </c>
      <c r="C47" s="67" t="s">
        <v>11</v>
      </c>
      <c r="D47" s="42">
        <v>0</v>
      </c>
      <c r="E47" s="43">
        <v>0</v>
      </c>
      <c r="F47" s="127">
        <v>23075.86793</v>
      </c>
      <c r="G47" s="115">
        <v>85000</v>
      </c>
      <c r="H47" s="44">
        <f t="shared" si="8"/>
        <v>108075.86793000001</v>
      </c>
      <c r="I47" s="111">
        <v>10019.355</v>
      </c>
      <c r="J47" s="102">
        <f>G47-I47</f>
        <v>74980.645000000004</v>
      </c>
      <c r="K47" s="95">
        <v>9416132</v>
      </c>
      <c r="L47" s="2" t="s">
        <v>113</v>
      </c>
      <c r="M47" s="103"/>
    </row>
    <row r="48" spans="1:13" ht="15" customHeight="1" x14ac:dyDescent="0.2">
      <c r="A48" s="45" t="s">
        <v>51</v>
      </c>
      <c r="B48" s="77">
        <v>5737</v>
      </c>
      <c r="C48" s="47" t="s">
        <v>11</v>
      </c>
      <c r="D48" s="26">
        <v>1446.18</v>
      </c>
      <c r="E48" s="13">
        <v>14564.74171</v>
      </c>
      <c r="F48" s="25">
        <v>124827.9385</v>
      </c>
      <c r="G48" s="115">
        <f>15000+100407.16</f>
        <v>115407.16</v>
      </c>
      <c r="H48" s="15">
        <f t="shared" si="8"/>
        <v>256246.02021000002</v>
      </c>
      <c r="I48" s="111">
        <v>37075.519999999997</v>
      </c>
      <c r="J48" s="102">
        <f>G48-I48</f>
        <v>78331.640000000014</v>
      </c>
      <c r="K48" s="89"/>
    </row>
    <row r="49" spans="1:15" ht="15.95" customHeight="1" x14ac:dyDescent="0.2">
      <c r="A49" s="145" t="s">
        <v>16</v>
      </c>
      <c r="B49" s="146"/>
      <c r="C49" s="147"/>
      <c r="D49" s="125">
        <f xml:space="preserve"> SUM(D43:D48)</f>
        <v>42383.644050000003</v>
      </c>
      <c r="E49" s="28">
        <f t="shared" ref="E49:F49" si="9" xml:space="preserve"> SUM(E43:E48)</f>
        <v>15606.856810000001</v>
      </c>
      <c r="F49" s="28">
        <f t="shared" si="9"/>
        <v>150753.80643</v>
      </c>
      <c r="G49" s="28">
        <f xml:space="preserve"> SUM(G43:G48)</f>
        <v>200407.16</v>
      </c>
      <c r="H49" s="30">
        <f xml:space="preserve"> SUM(H43:H48)</f>
        <v>409151.46729000006</v>
      </c>
      <c r="I49" s="108"/>
      <c r="J49" s="89"/>
      <c r="K49" s="89"/>
    </row>
    <row r="50" spans="1:15" ht="18" customHeight="1" x14ac:dyDescent="0.2">
      <c r="A50" s="51" t="s">
        <v>17</v>
      </c>
      <c r="B50" s="76"/>
      <c r="C50" s="53"/>
      <c r="D50" s="64"/>
      <c r="E50" s="53"/>
      <c r="F50" s="53"/>
      <c r="G50" s="53"/>
      <c r="H50" s="54"/>
      <c r="I50" s="108"/>
      <c r="J50" s="89"/>
      <c r="K50" s="89"/>
    </row>
    <row r="51" spans="1:15" ht="24.75" customHeight="1" x14ac:dyDescent="0.2">
      <c r="A51" s="45" t="s">
        <v>52</v>
      </c>
      <c r="B51" s="81">
        <v>4013</v>
      </c>
      <c r="C51" s="47" t="s">
        <v>40</v>
      </c>
      <c r="D51" s="13">
        <v>95.59</v>
      </c>
      <c r="E51" s="13">
        <v>44904.41</v>
      </c>
      <c r="F51" s="31">
        <v>0</v>
      </c>
      <c r="G51" s="115">
        <v>0</v>
      </c>
      <c r="H51" s="15">
        <f>D51+E51+F51+G51</f>
        <v>45000</v>
      </c>
      <c r="I51" s="112" t="s">
        <v>101</v>
      </c>
      <c r="J51" s="89">
        <v>0</v>
      </c>
      <c r="K51" s="89"/>
    </row>
    <row r="52" spans="1:15" ht="23.25" customHeight="1" x14ac:dyDescent="0.2">
      <c r="A52" s="45" t="s">
        <v>53</v>
      </c>
      <c r="B52" s="81">
        <v>5905</v>
      </c>
      <c r="C52" s="47" t="s">
        <v>40</v>
      </c>
      <c r="D52" s="13">
        <v>50386.472900000001</v>
      </c>
      <c r="E52" s="29">
        <v>3269.5270999999998</v>
      </c>
      <c r="F52" s="31">
        <v>0</v>
      </c>
      <c r="G52" s="115">
        <v>0</v>
      </c>
      <c r="H52" s="15">
        <f t="shared" ref="H52:H78" si="10">D52+E52+F52+G52</f>
        <v>53656</v>
      </c>
      <c r="I52" s="112" t="s">
        <v>101</v>
      </c>
      <c r="J52" s="89">
        <v>0</v>
      </c>
      <c r="K52" s="89"/>
    </row>
    <row r="53" spans="1:15" ht="24.75" customHeight="1" x14ac:dyDescent="0.2">
      <c r="A53" s="45" t="s">
        <v>54</v>
      </c>
      <c r="B53" s="81">
        <v>5754</v>
      </c>
      <c r="C53" s="47" t="s">
        <v>40</v>
      </c>
      <c r="D53" s="13">
        <v>30678.003519999998</v>
      </c>
      <c r="E53" s="13">
        <v>0</v>
      </c>
      <c r="F53" s="31">
        <v>0</v>
      </c>
      <c r="G53" s="115">
        <v>0</v>
      </c>
      <c r="H53" s="15">
        <f t="shared" si="10"/>
        <v>30678.003519999998</v>
      </c>
      <c r="I53" s="112" t="s">
        <v>101</v>
      </c>
      <c r="J53" s="89">
        <v>0</v>
      </c>
      <c r="K53" s="89"/>
    </row>
    <row r="54" spans="1:15" ht="24.75" customHeight="1" x14ac:dyDescent="0.2">
      <c r="A54" s="45" t="s">
        <v>55</v>
      </c>
      <c r="B54" s="81">
        <v>5866</v>
      </c>
      <c r="C54" s="47" t="s">
        <v>40</v>
      </c>
      <c r="D54" s="13">
        <v>40000</v>
      </c>
      <c r="E54" s="13">
        <v>0</v>
      </c>
      <c r="F54" s="31">
        <v>0</v>
      </c>
      <c r="G54" s="115">
        <v>0</v>
      </c>
      <c r="H54" s="15">
        <f t="shared" si="10"/>
        <v>40000</v>
      </c>
      <c r="I54" s="112" t="s">
        <v>101</v>
      </c>
      <c r="J54" s="89">
        <v>0</v>
      </c>
      <c r="K54" s="89"/>
    </row>
    <row r="55" spans="1:15" ht="34.5" customHeight="1" x14ac:dyDescent="0.2">
      <c r="A55" s="45" t="s">
        <v>56</v>
      </c>
      <c r="B55" s="81">
        <v>4028</v>
      </c>
      <c r="C55" s="47" t="s">
        <v>40</v>
      </c>
      <c r="D55" s="13">
        <v>6200</v>
      </c>
      <c r="E55" s="13">
        <v>0</v>
      </c>
      <c r="F55" s="31">
        <v>0</v>
      </c>
      <c r="G55" s="115">
        <v>0</v>
      </c>
      <c r="H55" s="15">
        <f t="shared" si="10"/>
        <v>6200</v>
      </c>
      <c r="I55" s="112" t="s">
        <v>101</v>
      </c>
      <c r="J55" s="89">
        <v>0</v>
      </c>
      <c r="K55" s="89"/>
    </row>
    <row r="56" spans="1:15" ht="24.75" customHeight="1" x14ac:dyDescent="0.2">
      <c r="A56" s="45" t="s">
        <v>57</v>
      </c>
      <c r="B56" s="81">
        <v>4036</v>
      </c>
      <c r="C56" s="47" t="s">
        <v>40</v>
      </c>
      <c r="D56" s="13">
        <v>7025.0520500000002</v>
      </c>
      <c r="E56" s="13">
        <v>2094.9479500000002</v>
      </c>
      <c r="F56" s="31">
        <v>0</v>
      </c>
      <c r="G56" s="115">
        <v>0</v>
      </c>
      <c r="H56" s="15">
        <f t="shared" si="10"/>
        <v>9120</v>
      </c>
      <c r="I56" s="112" t="s">
        <v>101</v>
      </c>
      <c r="J56" s="89">
        <v>0</v>
      </c>
      <c r="K56" s="89"/>
    </row>
    <row r="57" spans="1:15" ht="24.75" customHeight="1" x14ac:dyDescent="0.2">
      <c r="A57" s="45" t="s">
        <v>58</v>
      </c>
      <c r="B57" s="81">
        <v>5914</v>
      </c>
      <c r="C57" s="47" t="s">
        <v>40</v>
      </c>
      <c r="D57" s="13">
        <v>7949.6720999999998</v>
      </c>
      <c r="E57" s="13">
        <v>0</v>
      </c>
      <c r="F57" s="31">
        <v>0</v>
      </c>
      <c r="G57" s="115">
        <v>0</v>
      </c>
      <c r="H57" s="15">
        <f t="shared" si="10"/>
        <v>7949.6720999999998</v>
      </c>
      <c r="I57" s="112" t="s">
        <v>101</v>
      </c>
      <c r="J57" s="89">
        <v>0</v>
      </c>
      <c r="K57" s="89"/>
    </row>
    <row r="58" spans="1:15" ht="23.25" customHeight="1" x14ac:dyDescent="0.2">
      <c r="A58" s="45" t="s">
        <v>59</v>
      </c>
      <c r="B58" s="81">
        <v>5947</v>
      </c>
      <c r="C58" s="47" t="s">
        <v>40</v>
      </c>
      <c r="D58" s="13">
        <v>0</v>
      </c>
      <c r="E58" s="13">
        <v>13942.72262</v>
      </c>
      <c r="F58" s="31">
        <v>0</v>
      </c>
      <c r="G58" s="115">
        <v>0</v>
      </c>
      <c r="H58" s="15">
        <f t="shared" si="10"/>
        <v>13942.72262</v>
      </c>
      <c r="I58" s="112" t="s">
        <v>101</v>
      </c>
      <c r="J58" s="89">
        <v>0</v>
      </c>
      <c r="K58" s="89"/>
    </row>
    <row r="59" spans="1:15" ht="24.75" customHeight="1" x14ac:dyDescent="0.2">
      <c r="A59" s="45" t="s">
        <v>60</v>
      </c>
      <c r="B59" s="84">
        <v>5879</v>
      </c>
      <c r="C59" s="47" t="s">
        <v>40</v>
      </c>
      <c r="D59" s="13">
        <v>0</v>
      </c>
      <c r="E59" s="13">
        <v>325.27999999999997</v>
      </c>
      <c r="F59" s="31">
        <v>0</v>
      </c>
      <c r="G59" s="115">
        <f>387.2+5000</f>
        <v>5387.2</v>
      </c>
      <c r="H59" s="15">
        <f t="shared" si="10"/>
        <v>5712.48</v>
      </c>
      <c r="I59" s="108">
        <v>0</v>
      </c>
      <c r="J59" s="91">
        <f t="shared" ref="J59:J61" si="11">G59-I59</f>
        <v>5387.2</v>
      </c>
      <c r="K59" s="89"/>
    </row>
    <row r="60" spans="1:15" ht="24.75" customHeight="1" x14ac:dyDescent="0.2">
      <c r="A60" s="45" t="s">
        <v>61</v>
      </c>
      <c r="B60" s="77">
        <v>5884</v>
      </c>
      <c r="C60" s="47" t="s">
        <v>40</v>
      </c>
      <c r="D60" s="13">
        <v>43980.063670000003</v>
      </c>
      <c r="E60" s="13">
        <v>1584.91535</v>
      </c>
      <c r="F60" s="31">
        <v>5400.1651700000002</v>
      </c>
      <c r="G60" s="115">
        <v>6734.85</v>
      </c>
      <c r="H60" s="15">
        <f t="shared" si="10"/>
        <v>57699.994190000005</v>
      </c>
      <c r="I60" s="110">
        <v>3284.2919999999999</v>
      </c>
      <c r="J60" s="91">
        <f>G60-I60</f>
        <v>3450.5580000000004</v>
      </c>
      <c r="K60" s="89"/>
    </row>
    <row r="61" spans="1:15" ht="24.75" customHeight="1" x14ac:dyDescent="0.2">
      <c r="A61" s="45" t="s">
        <v>62</v>
      </c>
      <c r="B61" s="77">
        <v>5867</v>
      </c>
      <c r="C61" s="47" t="s">
        <v>40</v>
      </c>
      <c r="D61" s="13">
        <v>500</v>
      </c>
      <c r="E61" s="13">
        <v>196.96</v>
      </c>
      <c r="F61" s="31">
        <v>177.45</v>
      </c>
      <c r="G61" s="115">
        <f>41951+30525.59</f>
        <v>72476.59</v>
      </c>
      <c r="H61" s="15">
        <f t="shared" si="10"/>
        <v>73351</v>
      </c>
      <c r="I61" s="110">
        <v>1462.153</v>
      </c>
      <c r="J61" s="91">
        <f t="shared" si="11"/>
        <v>71014.436999999991</v>
      </c>
      <c r="K61" s="91"/>
      <c r="L61" s="71"/>
    </row>
    <row r="62" spans="1:15" ht="34.5" customHeight="1" x14ac:dyDescent="0.2">
      <c r="A62" s="45" t="s">
        <v>63</v>
      </c>
      <c r="B62" s="77">
        <v>5750</v>
      </c>
      <c r="C62" s="47" t="s">
        <v>64</v>
      </c>
      <c r="D62" s="13">
        <v>18811.418180000001</v>
      </c>
      <c r="E62" s="13">
        <v>25877.71342</v>
      </c>
      <c r="F62" s="31">
        <v>268.04480000000001</v>
      </c>
      <c r="G62" s="115">
        <v>0</v>
      </c>
      <c r="H62" s="15">
        <f>D62+E62+F62+G62</f>
        <v>44957.176400000004</v>
      </c>
      <c r="I62" s="114" t="s">
        <v>102</v>
      </c>
      <c r="J62" s="89">
        <v>0</v>
      </c>
      <c r="K62" s="95">
        <v>5.1900000000023301</v>
      </c>
      <c r="L62" s="2" t="s">
        <v>107</v>
      </c>
      <c r="O62" s="2" t="s">
        <v>112</v>
      </c>
    </row>
    <row r="63" spans="1:15" ht="34.5" customHeight="1" x14ac:dyDescent="0.2">
      <c r="A63" s="45" t="s">
        <v>65</v>
      </c>
      <c r="B63" s="77">
        <v>4105</v>
      </c>
      <c r="C63" s="47" t="s">
        <v>66</v>
      </c>
      <c r="D63" s="13">
        <v>0</v>
      </c>
      <c r="E63" s="13">
        <v>0</v>
      </c>
      <c r="F63" s="31">
        <v>5382.1225700000005</v>
      </c>
      <c r="G63" s="115">
        <v>0</v>
      </c>
      <c r="H63" s="15">
        <f>D63+E63+F63+G63</f>
        <v>5382.1225700000005</v>
      </c>
      <c r="I63" s="114" t="s">
        <v>102</v>
      </c>
      <c r="J63" s="89">
        <v>0</v>
      </c>
      <c r="K63" s="95">
        <v>1117877.43</v>
      </c>
      <c r="L63" s="2" t="s">
        <v>107</v>
      </c>
      <c r="O63" s="2" t="s">
        <v>112</v>
      </c>
    </row>
    <row r="64" spans="1:15" ht="24.75" customHeight="1" x14ac:dyDescent="0.2">
      <c r="A64" s="50" t="s">
        <v>117</v>
      </c>
      <c r="B64" s="77">
        <v>5730</v>
      </c>
      <c r="C64" s="47" t="s">
        <v>40</v>
      </c>
      <c r="D64" s="13">
        <v>803.35040000000004</v>
      </c>
      <c r="E64" s="13">
        <v>51491.672209999997</v>
      </c>
      <c r="F64" s="31">
        <v>141938.40836</v>
      </c>
      <c r="G64" s="115">
        <f>18691.95+5075.26+15000+6000</f>
        <v>44767.21</v>
      </c>
      <c r="H64" s="15">
        <f t="shared" si="10"/>
        <v>239000.64096999998</v>
      </c>
      <c r="I64" s="110">
        <v>4320.1589999999997</v>
      </c>
      <c r="J64" s="91">
        <f>G64-I64</f>
        <v>40447.050999999999</v>
      </c>
      <c r="K64" s="89"/>
    </row>
    <row r="65" spans="1:15" ht="34.5" customHeight="1" x14ac:dyDescent="0.2">
      <c r="A65" s="61" t="s">
        <v>67</v>
      </c>
      <c r="B65" s="77">
        <v>4002</v>
      </c>
      <c r="C65" s="47" t="s">
        <v>40</v>
      </c>
      <c r="D65" s="13">
        <v>0</v>
      </c>
      <c r="E65" s="13">
        <v>0</v>
      </c>
      <c r="F65" s="31">
        <v>0</v>
      </c>
      <c r="G65" s="115">
        <f>28000-28000</f>
        <v>0</v>
      </c>
      <c r="H65" s="15">
        <f t="shared" si="10"/>
        <v>0</v>
      </c>
      <c r="I65" s="110">
        <v>0</v>
      </c>
      <c r="J65" s="91">
        <f t="shared" ref="J65" si="12">G65-I65</f>
        <v>0</v>
      </c>
      <c r="K65" s="89"/>
    </row>
    <row r="66" spans="1:15" s="18" customFormat="1" ht="24" customHeight="1" x14ac:dyDescent="0.2">
      <c r="A66" s="45" t="s">
        <v>68</v>
      </c>
      <c r="B66" s="77">
        <v>4012</v>
      </c>
      <c r="C66" s="47" t="s">
        <v>40</v>
      </c>
      <c r="D66" s="13">
        <v>0</v>
      </c>
      <c r="E66" s="13">
        <v>263.57</v>
      </c>
      <c r="F66" s="31">
        <v>18583.4306</v>
      </c>
      <c r="G66" s="115">
        <v>0</v>
      </c>
      <c r="H66" s="15">
        <f t="shared" si="10"/>
        <v>18847.000599999999</v>
      </c>
      <c r="I66" s="114" t="s">
        <v>102</v>
      </c>
      <c r="J66" s="92">
        <v>0</v>
      </c>
      <c r="K66" s="96">
        <v>9.3999999985098803</v>
      </c>
      <c r="L66" s="2" t="s">
        <v>107</v>
      </c>
      <c r="M66" s="18">
        <v>18583.439999999999</v>
      </c>
      <c r="N66" s="73">
        <f>M66-F66</f>
        <v>9.399999999004649E-3</v>
      </c>
      <c r="O66" s="18" t="s">
        <v>111</v>
      </c>
    </row>
    <row r="67" spans="1:15" ht="24" customHeight="1" x14ac:dyDescent="0.2">
      <c r="A67" s="45" t="s">
        <v>69</v>
      </c>
      <c r="B67" s="77">
        <v>5456</v>
      </c>
      <c r="C67" s="47" t="s">
        <v>40</v>
      </c>
      <c r="D67" s="13">
        <v>0</v>
      </c>
      <c r="E67" s="13">
        <v>188.41300000000001</v>
      </c>
      <c r="F67" s="31">
        <v>623.75</v>
      </c>
      <c r="G67" s="115">
        <v>0</v>
      </c>
      <c r="H67" s="15">
        <f t="shared" si="10"/>
        <v>812.16300000000001</v>
      </c>
      <c r="I67" s="114" t="s">
        <v>100</v>
      </c>
      <c r="J67" s="89">
        <v>0</v>
      </c>
      <c r="K67" s="89"/>
    </row>
    <row r="68" spans="1:15" ht="24" customHeight="1" x14ac:dyDescent="0.2">
      <c r="A68" s="45" t="s">
        <v>70</v>
      </c>
      <c r="B68" s="77">
        <v>5971</v>
      </c>
      <c r="C68" s="47" t="s">
        <v>40</v>
      </c>
      <c r="D68" s="13">
        <v>0</v>
      </c>
      <c r="E68" s="29">
        <v>24042.860769999999</v>
      </c>
      <c r="F68" s="31">
        <v>957.13923</v>
      </c>
      <c r="G68" s="115">
        <v>0</v>
      </c>
      <c r="H68" s="15">
        <f t="shared" si="10"/>
        <v>25000</v>
      </c>
      <c r="I68" s="114" t="s">
        <v>102</v>
      </c>
      <c r="J68" s="89">
        <v>0</v>
      </c>
      <c r="K68" s="95">
        <v>0.77000000001862601</v>
      </c>
      <c r="L68" s="2" t="s">
        <v>107</v>
      </c>
    </row>
    <row r="69" spans="1:15" ht="34.5" customHeight="1" x14ac:dyDescent="0.2">
      <c r="A69" s="45" t="s">
        <v>71</v>
      </c>
      <c r="B69" s="77">
        <v>4027</v>
      </c>
      <c r="C69" s="47" t="s">
        <v>40</v>
      </c>
      <c r="D69" s="13">
        <v>0</v>
      </c>
      <c r="E69" s="13">
        <v>9.1709999999999994</v>
      </c>
      <c r="F69" s="31">
        <v>8568.2028399999999</v>
      </c>
      <c r="G69" s="115">
        <f>2557.61-424.72</f>
        <v>2132.8900000000003</v>
      </c>
      <c r="H69" s="15">
        <f t="shared" si="10"/>
        <v>10710.26384</v>
      </c>
      <c r="I69" s="108">
        <v>0</v>
      </c>
      <c r="J69" s="91">
        <f t="shared" ref="J69:J72" si="13">G69-I69</f>
        <v>2132.8900000000003</v>
      </c>
      <c r="K69" s="89"/>
    </row>
    <row r="70" spans="1:15" ht="24" customHeight="1" x14ac:dyDescent="0.2">
      <c r="A70" s="45" t="s">
        <v>72</v>
      </c>
      <c r="B70" s="77">
        <v>5681</v>
      </c>
      <c r="C70" s="47" t="s">
        <v>40</v>
      </c>
      <c r="D70" s="13">
        <v>28.590489999999999</v>
      </c>
      <c r="E70" s="13">
        <v>62.500129999999999</v>
      </c>
      <c r="F70" s="31">
        <v>1797.9390000000001</v>
      </c>
      <c r="G70" s="115">
        <v>401.84</v>
      </c>
      <c r="H70" s="15">
        <f t="shared" si="10"/>
        <v>2290.8696199999999</v>
      </c>
      <c r="I70" s="108">
        <v>0</v>
      </c>
      <c r="J70" s="91">
        <f t="shared" si="13"/>
        <v>401.84</v>
      </c>
      <c r="K70" s="89"/>
    </row>
    <row r="71" spans="1:15" ht="27.75" customHeight="1" x14ac:dyDescent="0.2">
      <c r="A71" s="45" t="s">
        <v>73</v>
      </c>
      <c r="B71" s="80">
        <v>5834</v>
      </c>
      <c r="C71" s="47" t="s">
        <v>40</v>
      </c>
      <c r="D71" s="13">
        <v>0</v>
      </c>
      <c r="E71" s="13">
        <v>0</v>
      </c>
      <c r="F71" s="31">
        <v>70429.721479999993</v>
      </c>
      <c r="G71" s="115">
        <v>0</v>
      </c>
      <c r="H71" s="15">
        <f t="shared" si="10"/>
        <v>70429.721479999993</v>
      </c>
      <c r="I71" s="114" t="s">
        <v>102</v>
      </c>
      <c r="J71" s="89">
        <v>0</v>
      </c>
      <c r="K71" s="95">
        <v>70278.519999995799</v>
      </c>
      <c r="L71" s="2" t="s">
        <v>107</v>
      </c>
      <c r="O71" s="2" t="s">
        <v>111</v>
      </c>
    </row>
    <row r="72" spans="1:15" s="12" customFormat="1" ht="24" customHeight="1" x14ac:dyDescent="0.2">
      <c r="A72" s="45" t="s">
        <v>74</v>
      </c>
      <c r="B72" s="77">
        <v>4004</v>
      </c>
      <c r="C72" s="47" t="s">
        <v>40</v>
      </c>
      <c r="D72" s="13">
        <v>127.05</v>
      </c>
      <c r="E72" s="13">
        <v>554.17999999999995</v>
      </c>
      <c r="F72" s="31">
        <v>6743.2073</v>
      </c>
      <c r="G72" s="115">
        <f>14075.61+4000</f>
        <v>18075.61</v>
      </c>
      <c r="H72" s="15">
        <f t="shared" si="10"/>
        <v>25500.047299999998</v>
      </c>
      <c r="I72" s="110">
        <v>1350.527</v>
      </c>
      <c r="J72" s="91">
        <f t="shared" si="13"/>
        <v>16725.082999999999</v>
      </c>
      <c r="K72" s="90"/>
    </row>
    <row r="73" spans="1:15" ht="24" customHeight="1" x14ac:dyDescent="0.2">
      <c r="A73" s="45" t="s">
        <v>75</v>
      </c>
      <c r="B73" s="77">
        <v>4007</v>
      </c>
      <c r="C73" s="47" t="s">
        <v>40</v>
      </c>
      <c r="D73" s="13">
        <v>17970.753359999999</v>
      </c>
      <c r="E73" s="13">
        <v>7029.2466400000003</v>
      </c>
      <c r="F73" s="31">
        <v>0</v>
      </c>
      <c r="G73" s="115">
        <v>0</v>
      </c>
      <c r="H73" s="15">
        <f t="shared" si="10"/>
        <v>25000</v>
      </c>
      <c r="I73" s="114" t="s">
        <v>100</v>
      </c>
      <c r="J73" s="89">
        <v>0</v>
      </c>
      <c r="K73" s="89"/>
    </row>
    <row r="74" spans="1:15" ht="24" customHeight="1" x14ac:dyDescent="0.2">
      <c r="A74" s="45" t="s">
        <v>76</v>
      </c>
      <c r="B74" s="77">
        <v>4096</v>
      </c>
      <c r="C74" s="47" t="s">
        <v>40</v>
      </c>
      <c r="D74" s="13">
        <v>0</v>
      </c>
      <c r="E74" s="13">
        <v>11095.038860000001</v>
      </c>
      <c r="F74" s="31">
        <v>0</v>
      </c>
      <c r="G74" s="115">
        <v>0</v>
      </c>
      <c r="H74" s="15">
        <f t="shared" si="10"/>
        <v>11095.038860000001</v>
      </c>
      <c r="I74" s="114" t="s">
        <v>100</v>
      </c>
      <c r="J74" s="89">
        <v>0</v>
      </c>
      <c r="K74" s="89"/>
    </row>
    <row r="75" spans="1:15" ht="24" customHeight="1" x14ac:dyDescent="0.2">
      <c r="A75" s="45" t="s">
        <v>77</v>
      </c>
      <c r="B75" s="77">
        <v>4252</v>
      </c>
      <c r="C75" s="47" t="s">
        <v>40</v>
      </c>
      <c r="D75" s="13">
        <v>0</v>
      </c>
      <c r="E75" s="13">
        <v>9081.3629999999994</v>
      </c>
      <c r="F75" s="31">
        <v>0</v>
      </c>
      <c r="G75" s="115">
        <v>0</v>
      </c>
      <c r="H75" s="15">
        <f t="shared" si="10"/>
        <v>9081.3629999999994</v>
      </c>
      <c r="I75" s="114" t="s">
        <v>100</v>
      </c>
      <c r="J75" s="89">
        <v>0</v>
      </c>
      <c r="K75" s="89"/>
    </row>
    <row r="76" spans="1:15" ht="24" customHeight="1" x14ac:dyDescent="0.2">
      <c r="A76" s="45" t="s">
        <v>78</v>
      </c>
      <c r="B76" s="77">
        <v>4162</v>
      </c>
      <c r="C76" s="47" t="s">
        <v>40</v>
      </c>
      <c r="D76" s="13">
        <v>0</v>
      </c>
      <c r="E76" s="13">
        <v>0</v>
      </c>
      <c r="F76" s="31">
        <v>0</v>
      </c>
      <c r="G76" s="115">
        <v>16614</v>
      </c>
      <c r="H76" s="15">
        <f t="shared" si="10"/>
        <v>16614</v>
      </c>
      <c r="I76" s="110">
        <v>3407.7579999999998</v>
      </c>
      <c r="J76" s="91">
        <f>G76-I76</f>
        <v>13206.242</v>
      </c>
      <c r="K76" s="89"/>
    </row>
    <row r="77" spans="1:15" ht="24" customHeight="1" x14ac:dyDescent="0.2">
      <c r="A77" s="45" t="s">
        <v>79</v>
      </c>
      <c r="B77" s="85">
        <v>4390</v>
      </c>
      <c r="C77" s="47" t="s">
        <v>40</v>
      </c>
      <c r="D77" s="13">
        <v>0</v>
      </c>
      <c r="E77" s="13">
        <v>0</v>
      </c>
      <c r="F77" s="128">
        <v>0</v>
      </c>
      <c r="G77" s="115">
        <v>12000</v>
      </c>
      <c r="H77" s="15">
        <f t="shared" si="10"/>
        <v>12000</v>
      </c>
      <c r="I77" s="108">
        <v>0</v>
      </c>
      <c r="J77" s="91">
        <f t="shared" ref="J77:J78" si="14">G77-I77</f>
        <v>12000</v>
      </c>
      <c r="K77" s="89"/>
    </row>
    <row r="78" spans="1:15" ht="24" customHeight="1" x14ac:dyDescent="0.2">
      <c r="A78" s="45" t="s">
        <v>80</v>
      </c>
      <c r="B78" s="86">
        <v>4272</v>
      </c>
      <c r="C78" s="47" t="s">
        <v>40</v>
      </c>
      <c r="D78" s="13">
        <v>0</v>
      </c>
      <c r="E78" s="13">
        <v>0</v>
      </c>
      <c r="F78" s="128">
        <v>0</v>
      </c>
      <c r="G78" s="115">
        <v>36500</v>
      </c>
      <c r="H78" s="15">
        <f t="shared" si="10"/>
        <v>36500</v>
      </c>
      <c r="I78" s="108">
        <v>0</v>
      </c>
      <c r="J78" s="91">
        <f t="shared" si="14"/>
        <v>36500</v>
      </c>
      <c r="K78" s="89"/>
    </row>
    <row r="79" spans="1:15" ht="15.95" customHeight="1" x14ac:dyDescent="0.2">
      <c r="A79" s="157" t="s">
        <v>22</v>
      </c>
      <c r="B79" s="158"/>
      <c r="C79" s="159"/>
      <c r="D79" s="125">
        <f>SUM(D51:D78)</f>
        <v>224556.01666999998</v>
      </c>
      <c r="E79" s="28">
        <f t="shared" ref="E79" si="15">SUM(E51:E78)</f>
        <v>196014.49205000003</v>
      </c>
      <c r="F79" s="28">
        <f>SUM(F51:F78)</f>
        <v>260869.58134999999</v>
      </c>
      <c r="G79" s="28">
        <f>SUM(G51:G78)</f>
        <v>215090.19</v>
      </c>
      <c r="H79" s="30">
        <f>SUM(H51:H78)</f>
        <v>896530.28006999998</v>
      </c>
      <c r="I79" s="108"/>
      <c r="J79" s="89"/>
      <c r="K79" s="89"/>
    </row>
    <row r="80" spans="1:15" ht="18" customHeight="1" x14ac:dyDescent="0.2">
      <c r="A80" s="51" t="s">
        <v>29</v>
      </c>
      <c r="B80" s="76"/>
      <c r="C80" s="53"/>
      <c r="D80" s="53"/>
      <c r="E80" s="53"/>
      <c r="F80" s="53"/>
      <c r="G80" s="53"/>
      <c r="H80" s="54"/>
      <c r="I80" s="108"/>
      <c r="J80" s="89"/>
      <c r="K80" s="89"/>
    </row>
    <row r="81" spans="1:11" ht="24" customHeight="1" x14ac:dyDescent="0.2">
      <c r="A81" s="65" t="s">
        <v>81</v>
      </c>
      <c r="B81" s="82">
        <v>4301</v>
      </c>
      <c r="C81" s="47" t="s">
        <v>40</v>
      </c>
      <c r="D81" s="13">
        <v>14723.48013</v>
      </c>
      <c r="E81" s="13">
        <v>6976.5198700000001</v>
      </c>
      <c r="F81" s="31">
        <v>0</v>
      </c>
      <c r="G81" s="115">
        <v>0</v>
      </c>
      <c r="H81" s="15">
        <f>D81+E81+F81+G81</f>
        <v>21700</v>
      </c>
      <c r="I81" s="114" t="s">
        <v>100</v>
      </c>
      <c r="J81" s="89">
        <v>0</v>
      </c>
      <c r="K81" s="89"/>
    </row>
    <row r="82" spans="1:11" ht="22.5" customHeight="1" x14ac:dyDescent="0.2">
      <c r="A82" s="65" t="s">
        <v>82</v>
      </c>
      <c r="B82" s="82">
        <v>5988</v>
      </c>
      <c r="C82" s="47" t="s">
        <v>40</v>
      </c>
      <c r="D82" s="13">
        <v>22241.63523</v>
      </c>
      <c r="E82" s="13">
        <v>0</v>
      </c>
      <c r="F82" s="31">
        <v>0</v>
      </c>
      <c r="G82" s="115">
        <v>0</v>
      </c>
      <c r="H82" s="15">
        <f t="shared" ref="H82:H97" si="16">D82+E82+F82+G82</f>
        <v>22241.63523</v>
      </c>
      <c r="I82" s="114" t="s">
        <v>100</v>
      </c>
      <c r="J82" s="89">
        <v>0</v>
      </c>
      <c r="K82" s="89"/>
    </row>
    <row r="83" spans="1:11" ht="24" customHeight="1" x14ac:dyDescent="0.2">
      <c r="A83" s="65" t="s">
        <v>83</v>
      </c>
      <c r="B83" s="82">
        <v>5594</v>
      </c>
      <c r="C83" s="47" t="s">
        <v>40</v>
      </c>
      <c r="D83" s="13">
        <v>20898.257420000002</v>
      </c>
      <c r="E83" s="13">
        <v>0</v>
      </c>
      <c r="F83" s="31">
        <v>0</v>
      </c>
      <c r="G83" s="115">
        <v>0</v>
      </c>
      <c r="H83" s="15">
        <f t="shared" si="16"/>
        <v>20898.257420000002</v>
      </c>
      <c r="I83" s="114" t="s">
        <v>100</v>
      </c>
      <c r="J83" s="89">
        <v>0</v>
      </c>
      <c r="K83" s="89"/>
    </row>
    <row r="84" spans="1:11" ht="24.75" customHeight="1" x14ac:dyDescent="0.2">
      <c r="A84" s="65" t="s">
        <v>84</v>
      </c>
      <c r="B84" s="82">
        <v>5984</v>
      </c>
      <c r="C84" s="47" t="s">
        <v>40</v>
      </c>
      <c r="D84" s="13">
        <v>28727.632860000002</v>
      </c>
      <c r="E84" s="13">
        <v>0</v>
      </c>
      <c r="F84" s="31">
        <v>0</v>
      </c>
      <c r="G84" s="115">
        <v>0</v>
      </c>
      <c r="H84" s="15">
        <f t="shared" si="16"/>
        <v>28727.632860000002</v>
      </c>
      <c r="I84" s="114" t="s">
        <v>100</v>
      </c>
      <c r="J84" s="89">
        <v>0</v>
      </c>
      <c r="K84" s="89"/>
    </row>
    <row r="85" spans="1:11" ht="24.75" customHeight="1" x14ac:dyDescent="0.2">
      <c r="A85" s="65" t="s">
        <v>85</v>
      </c>
      <c r="B85" s="82">
        <v>5921</v>
      </c>
      <c r="C85" s="47" t="s">
        <v>40</v>
      </c>
      <c r="D85" s="13">
        <v>11437.7</v>
      </c>
      <c r="E85" s="13">
        <v>0</v>
      </c>
      <c r="F85" s="31">
        <v>0</v>
      </c>
      <c r="G85" s="115">
        <v>0</v>
      </c>
      <c r="H85" s="15">
        <f t="shared" si="16"/>
        <v>11437.7</v>
      </c>
      <c r="I85" s="114" t="s">
        <v>100</v>
      </c>
      <c r="J85" s="89">
        <v>0</v>
      </c>
      <c r="K85" s="89"/>
    </row>
    <row r="86" spans="1:11" ht="24.75" customHeight="1" x14ac:dyDescent="0.2">
      <c r="A86" s="65" t="s">
        <v>86</v>
      </c>
      <c r="B86" s="82">
        <v>5765</v>
      </c>
      <c r="C86" s="47" t="s">
        <v>40</v>
      </c>
      <c r="D86" s="13">
        <v>11567.778399999999</v>
      </c>
      <c r="E86" s="13">
        <v>0</v>
      </c>
      <c r="F86" s="31">
        <v>0</v>
      </c>
      <c r="G86" s="115">
        <v>0</v>
      </c>
      <c r="H86" s="15">
        <f t="shared" si="16"/>
        <v>11567.778399999999</v>
      </c>
      <c r="I86" s="114" t="s">
        <v>100</v>
      </c>
      <c r="J86" s="89">
        <v>0</v>
      </c>
      <c r="K86" s="89"/>
    </row>
    <row r="87" spans="1:11" s="18" customFormat="1" ht="15.95" customHeight="1" x14ac:dyDescent="0.2">
      <c r="A87" s="65" t="s">
        <v>87</v>
      </c>
      <c r="B87" s="80">
        <v>5761</v>
      </c>
      <c r="C87" s="47" t="s">
        <v>40</v>
      </c>
      <c r="D87" s="13">
        <v>1099.146</v>
      </c>
      <c r="E87" s="13">
        <v>0</v>
      </c>
      <c r="F87" s="31">
        <v>19692.223870000002</v>
      </c>
      <c r="G87" s="115">
        <v>3208.62</v>
      </c>
      <c r="H87" s="15">
        <f>D87+E87+F87+G87</f>
        <v>23999.989870000001</v>
      </c>
      <c r="I87" s="113">
        <v>0</v>
      </c>
      <c r="J87" s="91">
        <f>G87-I87</f>
        <v>3208.62</v>
      </c>
      <c r="K87" s="92"/>
    </row>
    <row r="88" spans="1:11" s="18" customFormat="1" ht="24" customHeight="1" x14ac:dyDescent="0.2">
      <c r="A88" s="65" t="s">
        <v>88</v>
      </c>
      <c r="B88" s="80">
        <v>5690</v>
      </c>
      <c r="C88" s="47" t="s">
        <v>40</v>
      </c>
      <c r="D88" s="13">
        <v>34.11</v>
      </c>
      <c r="E88" s="13">
        <v>93382</v>
      </c>
      <c r="F88" s="31">
        <v>50000</v>
      </c>
      <c r="G88" s="115">
        <v>0</v>
      </c>
      <c r="H88" s="15">
        <f>D88+E88+F88+G88</f>
        <v>143416.10999999999</v>
      </c>
      <c r="I88" s="114" t="s">
        <v>100</v>
      </c>
      <c r="J88" s="89">
        <v>0</v>
      </c>
      <c r="K88" s="92"/>
    </row>
    <row r="89" spans="1:11" s="18" customFormat="1" ht="24" customHeight="1" x14ac:dyDescent="0.2">
      <c r="A89" s="65" t="s">
        <v>89</v>
      </c>
      <c r="B89" s="80">
        <v>4496</v>
      </c>
      <c r="C89" s="47" t="s">
        <v>40</v>
      </c>
      <c r="D89" s="13">
        <v>29.04</v>
      </c>
      <c r="E89" s="13">
        <v>262.20699999999999</v>
      </c>
      <c r="F89" s="31">
        <v>62388.506549999998</v>
      </c>
      <c r="G89" s="115">
        <v>35870.25</v>
      </c>
      <c r="H89" s="15">
        <f>D89+E89+F89+G89</f>
        <v>98550.003549999994</v>
      </c>
      <c r="I89" s="110">
        <v>21874.258999999998</v>
      </c>
      <c r="J89" s="91">
        <f>G89-I89</f>
        <v>13995.991000000002</v>
      </c>
      <c r="K89" s="92"/>
    </row>
    <row r="90" spans="1:11" s="12" customFormat="1" ht="23.25" customHeight="1" x14ac:dyDescent="0.2">
      <c r="A90" s="65" t="s">
        <v>90</v>
      </c>
      <c r="B90" s="80">
        <v>4372</v>
      </c>
      <c r="C90" s="47" t="s">
        <v>40</v>
      </c>
      <c r="D90" s="13">
        <v>0</v>
      </c>
      <c r="E90" s="13">
        <v>1073.91875</v>
      </c>
      <c r="F90" s="31">
        <v>27227.443090000001</v>
      </c>
      <c r="G90" s="115">
        <v>0</v>
      </c>
      <c r="H90" s="15">
        <f t="shared" si="16"/>
        <v>28301.361840000001</v>
      </c>
      <c r="I90" s="114" t="s">
        <v>100</v>
      </c>
      <c r="J90" s="89">
        <v>0</v>
      </c>
      <c r="K90" s="90"/>
    </row>
    <row r="91" spans="1:11" s="12" customFormat="1" ht="24" customHeight="1" x14ac:dyDescent="0.2">
      <c r="A91" s="65" t="s">
        <v>91</v>
      </c>
      <c r="B91" s="80">
        <v>5482</v>
      </c>
      <c r="C91" s="47" t="s">
        <v>40</v>
      </c>
      <c r="D91" s="13">
        <v>0</v>
      </c>
      <c r="E91" s="13">
        <v>25.52</v>
      </c>
      <c r="F91" s="31">
        <v>7886.9156199999998</v>
      </c>
      <c r="G91" s="115">
        <f>140322.57</f>
        <v>140322.57</v>
      </c>
      <c r="H91" s="15">
        <f t="shared" si="16"/>
        <v>148235.00562000001</v>
      </c>
      <c r="I91" s="110">
        <v>18023.948</v>
      </c>
      <c r="J91" s="91">
        <f t="shared" ref="J91:J93" si="17">G91-I91</f>
        <v>122298.622</v>
      </c>
      <c r="K91" s="90"/>
    </row>
    <row r="92" spans="1:11" s="12" customFormat="1" ht="24" customHeight="1" x14ac:dyDescent="0.2">
      <c r="A92" s="65" t="s">
        <v>92</v>
      </c>
      <c r="B92" s="80">
        <v>4490</v>
      </c>
      <c r="C92" s="47" t="s">
        <v>40</v>
      </c>
      <c r="D92" s="13">
        <v>0</v>
      </c>
      <c r="E92" s="13">
        <v>0</v>
      </c>
      <c r="F92" s="31">
        <v>0</v>
      </c>
      <c r="G92" s="115">
        <f>9000-2500</f>
        <v>6500</v>
      </c>
      <c r="H92" s="15">
        <f t="shared" si="16"/>
        <v>6500</v>
      </c>
      <c r="I92" s="110">
        <v>0</v>
      </c>
      <c r="J92" s="91">
        <f t="shared" si="17"/>
        <v>6500</v>
      </c>
      <c r="K92" s="90"/>
    </row>
    <row r="93" spans="1:11" s="12" customFormat="1" ht="24" customHeight="1" x14ac:dyDescent="0.2">
      <c r="A93" s="65" t="s">
        <v>93</v>
      </c>
      <c r="B93" s="80">
        <v>4491</v>
      </c>
      <c r="C93" s="47" t="s">
        <v>40</v>
      </c>
      <c r="D93" s="13">
        <v>0</v>
      </c>
      <c r="E93" s="13">
        <v>0</v>
      </c>
      <c r="F93" s="31">
        <v>0</v>
      </c>
      <c r="G93" s="115">
        <v>2400</v>
      </c>
      <c r="H93" s="15">
        <f t="shared" si="16"/>
        <v>2400</v>
      </c>
      <c r="I93" s="110">
        <v>0</v>
      </c>
      <c r="J93" s="91">
        <f t="shared" si="17"/>
        <v>2400</v>
      </c>
      <c r="K93" s="90"/>
    </row>
    <row r="94" spans="1:11" ht="24" customHeight="1" x14ac:dyDescent="0.2">
      <c r="A94" s="65" t="s">
        <v>94</v>
      </c>
      <c r="B94" s="80">
        <v>4492</v>
      </c>
      <c r="C94" s="47" t="s">
        <v>40</v>
      </c>
      <c r="D94" s="13">
        <v>0</v>
      </c>
      <c r="E94" s="13">
        <v>0</v>
      </c>
      <c r="F94" s="31">
        <v>0</v>
      </c>
      <c r="G94" s="115">
        <f>1500-1400</f>
        <v>100</v>
      </c>
      <c r="H94" s="15">
        <f t="shared" si="16"/>
        <v>100</v>
      </c>
      <c r="I94" s="110">
        <v>0</v>
      </c>
      <c r="J94" s="91">
        <f>G94-I94</f>
        <v>100</v>
      </c>
      <c r="K94" s="89"/>
    </row>
    <row r="95" spans="1:11" ht="24" customHeight="1" x14ac:dyDescent="0.2">
      <c r="A95" s="65" t="s">
        <v>95</v>
      </c>
      <c r="B95" s="77">
        <v>4408</v>
      </c>
      <c r="C95" s="47" t="s">
        <v>40</v>
      </c>
      <c r="D95" s="13">
        <v>0</v>
      </c>
      <c r="E95" s="13">
        <v>0</v>
      </c>
      <c r="F95" s="31">
        <v>2000</v>
      </c>
      <c r="G95" s="115">
        <v>0</v>
      </c>
      <c r="H95" s="15">
        <f t="shared" si="16"/>
        <v>2000</v>
      </c>
      <c r="I95" s="114" t="s">
        <v>100</v>
      </c>
      <c r="J95" s="89">
        <v>0</v>
      </c>
      <c r="K95" s="89"/>
    </row>
    <row r="96" spans="1:11" ht="24" customHeight="1" x14ac:dyDescent="0.2">
      <c r="A96" s="65" t="s">
        <v>96</v>
      </c>
      <c r="B96" s="77">
        <v>4410</v>
      </c>
      <c r="C96" s="47" t="s">
        <v>40</v>
      </c>
      <c r="D96" s="13">
        <v>0</v>
      </c>
      <c r="E96" s="13">
        <v>18000</v>
      </c>
      <c r="F96" s="129">
        <v>0</v>
      </c>
      <c r="G96" s="115">
        <v>0</v>
      </c>
      <c r="H96" s="15">
        <f t="shared" si="16"/>
        <v>18000</v>
      </c>
      <c r="I96" s="114" t="s">
        <v>100</v>
      </c>
      <c r="J96" s="89">
        <v>0</v>
      </c>
      <c r="K96" s="89"/>
    </row>
    <row r="97" spans="1:14" ht="24" customHeight="1" thickBot="1" x14ac:dyDescent="0.25">
      <c r="A97" s="65" t="s">
        <v>97</v>
      </c>
      <c r="B97" s="77">
        <v>4485</v>
      </c>
      <c r="C97" s="47" t="s">
        <v>40</v>
      </c>
      <c r="D97" s="13">
        <v>0</v>
      </c>
      <c r="E97" s="13">
        <v>0</v>
      </c>
      <c r="F97" s="129">
        <v>2387.33</v>
      </c>
      <c r="G97" s="115">
        <f>10500+2612.67+17000</f>
        <v>30112.67</v>
      </c>
      <c r="H97" s="15">
        <f t="shared" si="16"/>
        <v>32500</v>
      </c>
      <c r="I97" s="110">
        <v>0</v>
      </c>
      <c r="J97" s="91">
        <f>G97-I97</f>
        <v>30112.67</v>
      </c>
      <c r="K97" s="91"/>
    </row>
    <row r="98" spans="1:14" ht="15.95" customHeight="1" thickBot="1" x14ac:dyDescent="0.25">
      <c r="A98" s="151" t="s">
        <v>32</v>
      </c>
      <c r="B98" s="152"/>
      <c r="C98" s="153"/>
      <c r="D98" s="23">
        <f>SUM(D81:D97)</f>
        <v>110758.78003999998</v>
      </c>
      <c r="E98" s="23">
        <f t="shared" ref="E98:H98" si="18">SUM(E81:E97)</f>
        <v>119720.16562</v>
      </c>
      <c r="F98" s="23">
        <f t="shared" si="18"/>
        <v>171582.41912999997</v>
      </c>
      <c r="G98" s="23">
        <f>SUM(G81:G97)</f>
        <v>218514.11</v>
      </c>
      <c r="H98" s="23">
        <f t="shared" si="18"/>
        <v>620575.47479000012</v>
      </c>
      <c r="I98" s="108"/>
      <c r="J98" s="89"/>
      <c r="K98" s="89"/>
    </row>
    <row r="99" spans="1:14" ht="23.45" customHeight="1" thickBot="1" x14ac:dyDescent="0.25">
      <c r="A99" s="154" t="s">
        <v>98</v>
      </c>
      <c r="B99" s="155"/>
      <c r="C99" s="156"/>
      <c r="D99" s="23">
        <f>D98+D79+D49+D41+D38</f>
        <v>378313.44075999997</v>
      </c>
      <c r="E99" s="23">
        <f>E98+E79+E49+E41+E38</f>
        <v>441376.52514000004</v>
      </c>
      <c r="F99" s="23">
        <f>F98+F79+F49+F41+F38</f>
        <v>748490.49125999992</v>
      </c>
      <c r="G99" s="23">
        <f>G98+G79+G49+G41+G38</f>
        <v>970141.45313999988</v>
      </c>
      <c r="H99" s="23">
        <f>H98+H79+H49+H41+H38</f>
        <v>2538321.9103000006</v>
      </c>
      <c r="I99" s="110">
        <f>I11+I12+I27+I35+I36+I40+I47+I48+I60+I61+I64+I72+I76+I89+I91</f>
        <v>136617.80500000002</v>
      </c>
      <c r="J99" s="91">
        <f>SUM(J7:J98)</f>
        <v>1064447.3511399999</v>
      </c>
      <c r="K99" s="91">
        <f>SUM(K7:K98)</f>
        <v>14615580.689999992</v>
      </c>
      <c r="M99" s="71">
        <f>I99+J99</f>
        <v>1201065.1561399999</v>
      </c>
    </row>
    <row r="100" spans="1:14" ht="13.5" thickBot="1" x14ac:dyDescent="0.25">
      <c r="A100" s="55" t="s">
        <v>27</v>
      </c>
      <c r="B100" s="79"/>
      <c r="C100" s="56"/>
      <c r="D100" s="68"/>
      <c r="E100" s="68"/>
      <c r="F100" s="69" t="s">
        <v>27</v>
      </c>
      <c r="G100" s="68"/>
      <c r="H100" s="70"/>
      <c r="K100" s="101"/>
      <c r="M100" s="71"/>
    </row>
    <row r="101" spans="1:14" ht="21" customHeight="1" thickBot="1" x14ac:dyDescent="0.25">
      <c r="A101" s="154" t="s">
        <v>99</v>
      </c>
      <c r="B101" s="155"/>
      <c r="C101" s="156"/>
      <c r="D101" s="23">
        <f>D99+D29+D23</f>
        <v>387806.44918999996</v>
      </c>
      <c r="E101" s="23">
        <f>E99+E29+E23</f>
        <v>522269.68187000003</v>
      </c>
      <c r="F101" s="23">
        <f>F99+F29+F23</f>
        <v>888593.13500999997</v>
      </c>
      <c r="G101" s="23">
        <f>G99+G29+G23</f>
        <v>1201330.7331399999</v>
      </c>
      <c r="H101" s="24">
        <f>H99+H29+H23</f>
        <v>2999999.9992100005</v>
      </c>
      <c r="J101" s="99">
        <v>3000000</v>
      </c>
      <c r="K101" s="100">
        <f>J101-H101</f>
        <v>7.8999949619174004E-4</v>
      </c>
    </row>
    <row r="102" spans="1:14" x14ac:dyDescent="0.2">
      <c r="F102" s="98"/>
      <c r="G102" s="97"/>
      <c r="K102" s="71"/>
      <c r="M102" s="72">
        <f>G101+K101</f>
        <v>1201330.7339299994</v>
      </c>
    </row>
    <row r="103" spans="1:14" x14ac:dyDescent="0.2">
      <c r="A103" s="130">
        <v>45422</v>
      </c>
      <c r="M103" s="72">
        <v>10.661390000000001</v>
      </c>
    </row>
    <row r="104" spans="1:14" x14ac:dyDescent="0.2">
      <c r="G104" s="72"/>
      <c r="M104" s="72">
        <f>M102-M103</f>
        <v>1201320.0725399994</v>
      </c>
    </row>
    <row r="105" spans="1:14" x14ac:dyDescent="0.2">
      <c r="G105" s="72"/>
      <c r="K105" s="36"/>
      <c r="L105" s="36"/>
      <c r="M105" s="36"/>
      <c r="N105" s="36"/>
    </row>
    <row r="106" spans="1:14" x14ac:dyDescent="0.2">
      <c r="M106" s="72"/>
    </row>
    <row r="107" spans="1:14" x14ac:dyDescent="0.2">
      <c r="C107" s="33"/>
      <c r="N107" s="37"/>
    </row>
    <row r="108" spans="1:14" x14ac:dyDescent="0.2">
      <c r="N108" s="36"/>
    </row>
  </sheetData>
  <mergeCells count="22">
    <mergeCell ref="A79:C79"/>
    <mergeCell ref="A98:C98"/>
    <mergeCell ref="A99:C99"/>
    <mergeCell ref="A101:C101"/>
    <mergeCell ref="A28:C28"/>
    <mergeCell ref="A29:C29"/>
    <mergeCell ref="A31:H31"/>
    <mergeCell ref="A38:C38"/>
    <mergeCell ref="A41:C41"/>
    <mergeCell ref="A49:C49"/>
    <mergeCell ref="A25:H25"/>
    <mergeCell ref="A1:H1"/>
    <mergeCell ref="A3:A4"/>
    <mergeCell ref="D3:G3"/>
    <mergeCell ref="H3:H4"/>
    <mergeCell ref="A5:H5"/>
    <mergeCell ref="A9:C9"/>
    <mergeCell ref="A10:H10"/>
    <mergeCell ref="A13:C13"/>
    <mergeCell ref="A19:C19"/>
    <mergeCell ref="A22:C22"/>
    <mergeCell ref="A23:C23"/>
  </mergeCells>
  <pageMargins left="0.7" right="0.7" top="0.78740157499999996" bottom="0.78740157499999996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f00de5-3d34-4ead-8964-faa41f4797d9" xsi:nil="true"/>
    <lcf76f155ced4ddcb4097134ff3c332f xmlns="3d7c9ae4-6c2a-4c7d-80cb-0d7be83f8137">
      <Terms xmlns="http://schemas.microsoft.com/office/infopath/2007/PartnerControls"/>
    </lcf76f155ced4ddcb4097134ff3c332f>
    <SharedWithUsers xmlns="eff00de5-3d34-4ead-8964-faa41f4797d9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037EAFC5C404691E2FF76EA56A214" ma:contentTypeVersion="16" ma:contentTypeDescription="Create a new document." ma:contentTypeScope="" ma:versionID="1a344fa858718646ef9a7a196fe8c4f5">
  <xsd:schema xmlns:xsd="http://www.w3.org/2001/XMLSchema" xmlns:xs="http://www.w3.org/2001/XMLSchema" xmlns:p="http://schemas.microsoft.com/office/2006/metadata/properties" xmlns:ns2="3d7c9ae4-6c2a-4c7d-80cb-0d7be83f8137" xmlns:ns3="eff00de5-3d34-4ead-8964-faa41f4797d9" targetNamespace="http://schemas.microsoft.com/office/2006/metadata/properties" ma:root="true" ma:fieldsID="9347312994d5bc9e1c18e30a0d7dfb1c" ns2:_="" ns3:_="">
    <xsd:import namespace="3d7c9ae4-6c2a-4c7d-80cb-0d7be83f8137"/>
    <xsd:import namespace="eff00de5-3d34-4ead-8964-faa41f4797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9ae4-6c2a-4c7d-80cb-0d7be83f81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8b36011f-fa83-4881-9f6b-75cac07ef4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f00de5-3d34-4ead-8964-faa41f4797d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5b6177d-86ca-4626-9da7-fb8a54be589b}" ma:internalName="TaxCatchAll" ma:showField="CatchAllData" ma:web="eff00de5-3d34-4ead-8964-faa41f4797d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BAD1738-15FF-4B5D-B6B2-812D364CF33D}">
  <ds:schemaRefs>
    <ds:schemaRef ds:uri="http://schemas.microsoft.com/office/2006/metadata/properties"/>
    <ds:schemaRef ds:uri="http://purl.org/dc/terms/"/>
    <ds:schemaRef ds:uri="3d7c9ae4-6c2a-4c7d-80cb-0d7be83f8137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ff00de5-3d34-4ead-8964-faa41f4797d9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8058864E-0043-4F00-8D92-10FD94C90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7c9ae4-6c2a-4c7d-80cb-0d7be83f8137"/>
    <ds:schemaRef ds:uri="eff00de5-3d34-4ead-8964-faa41f4797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12DBBC-52A0-4DBC-9B23-9C0C255130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Úvěr ČS ZK 6.6.2024</vt:lpstr>
    </vt:vector>
  </TitlesOfParts>
  <Manager/>
  <Company>KUMSK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Metelka Tomáš</dc:creator>
  <cp:keywords/>
  <dc:description/>
  <cp:lastModifiedBy>Kubíková Renata</cp:lastModifiedBy>
  <cp:revision/>
  <cp:lastPrinted>2024-04-22T06:03:20Z</cp:lastPrinted>
  <dcterms:created xsi:type="dcterms:W3CDTF">2015-11-13T16:09:39Z</dcterms:created>
  <dcterms:modified xsi:type="dcterms:W3CDTF">2024-05-15T07:33:17Z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0x0101009F7037EAFC5C404691E2FF76EA56A214</vt:lpwstr>
  </property>
  <property fmtid="{D5CDD505-2E9C-101B-9397-08002B2CF9AE}" pid="3" name="MSIP_Label_63ff9749-f68b-40ec-aa05-229831920469_Enabled">
    <vt:lpwstr>true</vt:lpwstr>
  </property>
  <property fmtid="{D5CDD505-2E9C-101B-9397-08002B2CF9AE}" pid="4" name="MSIP_Label_63ff9749-f68b-40ec-aa05-229831920469_SetDate">
    <vt:lpwstr>2022-03-09T10:46:47Z</vt:lpwstr>
  </property>
  <property fmtid="{D5CDD505-2E9C-101B-9397-08002B2CF9AE}" pid="5" name="MSIP_Label_63ff9749-f68b-40ec-aa05-229831920469_Method">
    <vt:lpwstr>Standard</vt:lpwstr>
  </property>
  <property fmtid="{D5CDD505-2E9C-101B-9397-08002B2CF9AE}" pid="6" name="MSIP_Label_63ff9749-f68b-40ec-aa05-229831920469_Name">
    <vt:lpwstr>Neveřejná informace</vt:lpwstr>
  </property>
  <property fmtid="{D5CDD505-2E9C-101B-9397-08002B2CF9AE}" pid="7" name="MSIP_Label_63ff9749-f68b-40ec-aa05-229831920469_SiteId">
    <vt:lpwstr>39f24d0b-aa30-4551-8e81-43c77cf1000e</vt:lpwstr>
  </property>
  <property fmtid="{D5CDD505-2E9C-101B-9397-08002B2CF9AE}" pid="8" name="MSIP_Label_63ff9749-f68b-40ec-aa05-229831920469_ActionId">
    <vt:lpwstr>f3b94794-8856-41f9-b996-65b895dc0c35</vt:lpwstr>
  </property>
  <property fmtid="{D5CDD505-2E9C-101B-9397-08002B2CF9AE}" pid="9" name="MSIP_Label_63ff9749-f68b-40ec-aa05-229831920469_ContentBits">
    <vt:lpwstr>2</vt:lpwstr>
  </property>
  <property fmtid="{D5CDD505-2E9C-101B-9397-08002B2CF9AE}" pid="10" name="MediaServiceImageTags">
    <vt:lpwstr/>
  </property>
  <property fmtid="{D5CDD505-2E9C-101B-9397-08002B2CF9AE}" pid="11" name="Order">
    <vt:r8>334000</vt:r8>
  </property>
  <property fmtid="{D5CDD505-2E9C-101B-9397-08002B2CF9AE}" pid="12" name="xd_Signature">
    <vt:bool>false</vt:bool>
  </property>
  <property fmtid="{D5CDD505-2E9C-101B-9397-08002B2CF9AE}" pid="13" name="xd_ProgID">
    <vt:lpwstr/>
  </property>
  <property fmtid="{D5CDD505-2E9C-101B-9397-08002B2CF9AE}" pid="14" name="ComplianceAssetId">
    <vt:lpwstr/>
  </property>
  <property fmtid="{D5CDD505-2E9C-101B-9397-08002B2CF9AE}" pid="15" name="TemplateUrl">
    <vt:lpwstr/>
  </property>
  <property fmtid="{D5CDD505-2E9C-101B-9397-08002B2CF9AE}" pid="16" name="_ExtendedDescription">
    <vt:lpwstr/>
  </property>
  <property fmtid="{D5CDD505-2E9C-101B-9397-08002B2CF9AE}" pid="17" name="TriggerFlowInfo">
    <vt:lpwstr/>
  </property>
</Properties>
</file>