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petr_paseka_msk_cz/Documents/_N_PODKLADY/PETR SDÍLENÉ/BANKY - POPTÁVKY_2011_2023/2023_ÚVER PŘEDFINANCOVÁNÍ/"/>
    </mc:Choice>
  </mc:AlternateContent>
  <xr:revisionPtr revIDLastSave="0" documentId="8_{009B77B3-AD2C-44EC-8D24-028FAF8D164F}" xr6:coauthVersionLast="47" xr6:coauthVersionMax="47" xr10:uidLastSave="{00000000-0000-0000-0000-000000000000}"/>
  <bookViews>
    <workbookView xWindow="-120" yWindow="-120" windowWidth="38640" windowHeight="21120" firstSheet="11" activeTab="11" xr2:uid="{200D0292-D361-4A16-9C8F-FFC3138CCF8F}"/>
  </bookViews>
  <sheets>
    <sheet name="UR" sheetId="2" state="hidden" r:id="rId1"/>
    <sheet name="UCB bz 250 (schálný ČS)" sheetId="6" state="hidden" r:id="rId2"/>
    <sheet name="UCBbz 250 (schálný ČS)+nové ŠMS" sheetId="8" state="hidden" r:id="rId3"/>
    <sheet name="UCB revize (plán ČS)+ŠMS" sheetId="7" state="hidden" r:id="rId4"/>
    <sheet name="ÚVĚRY revize EP 27_04_2021" sheetId="14" state="hidden" r:id="rId5"/>
    <sheet name="ÚVĚRY EPaIM 29_04_2021" sheetId="15" state="hidden" r:id="rId6"/>
    <sheet name="ÚVĚRY Kalkulačka 29_04_2021" sheetId="16" state="hidden" r:id="rId7"/>
    <sheet name="ÚVĚRY EP+IM 14_05_2021" sheetId="18" state="hidden" r:id="rId8"/>
    <sheet name="28_6_2021_parky Karviná" sheetId="19" state="hidden" r:id="rId9"/>
    <sheet name="25_10_2021_změny IM a EP" sheetId="20" state="hidden" r:id="rId10"/>
    <sheet name="25_10_2021_změny IM a EP (2)" sheetId="21" state="hidden" r:id="rId11"/>
    <sheet name="Nový úvěr_projekty" sheetId="38" r:id="rId12"/>
    <sheet name="ÚVĚRY EP+IM 07_05_2021+REAKT" sheetId="17" state="hidden" r:id="rId13"/>
    <sheet name="UCB REAKT EU" sheetId="11" state="hidden" r:id="rId14"/>
    <sheet name="ČS REAKT EU" sheetId="12" state="hidden" r:id="rId15"/>
    <sheet name="kombinace UCB a ČS REAKT EU" sheetId="13" state="hidden" r:id="rId16"/>
  </sheets>
  <externalReferences>
    <externalReference r:id="rId17"/>
  </externalReferences>
  <definedNames>
    <definedName name="_xlnm._FilterDatabase" localSheetId="9" hidden="1">'25_10_2021_změny IM a EP'!$A$1:$X$148</definedName>
    <definedName name="_xlnm._FilterDatabase" localSheetId="10" hidden="1">'25_10_2021_změny IM a EP (2)'!$A$2:$AL$203</definedName>
    <definedName name="_xlnm._FilterDatabase" localSheetId="8" hidden="1">'28_6_2021_parky Karviná'!$A$1:$W$134</definedName>
    <definedName name="_xlnm._FilterDatabase" localSheetId="14" hidden="1">'ČS REAKT EU'!$A$1:$U$116</definedName>
    <definedName name="_xlnm._FilterDatabase" localSheetId="15" hidden="1">'kombinace UCB a ČS REAKT EU'!$A$1:$U$116</definedName>
    <definedName name="_xlnm._FilterDatabase" localSheetId="11" hidden="1">'Nový úvěr_projekty'!$A$3:$W$77</definedName>
    <definedName name="_xlnm._FilterDatabase" localSheetId="1" hidden="1">'UCB bz 250 (schálný ČS)'!$A$1:$U$114</definedName>
    <definedName name="_xlnm._FilterDatabase" localSheetId="13" hidden="1">'UCB REAKT EU'!$A$1:$U$116</definedName>
    <definedName name="_xlnm._FilterDatabase" localSheetId="3" hidden="1">'UCB revize (plán ČS)+ŠMS'!$A$1:$U$116</definedName>
    <definedName name="_xlnm._FilterDatabase" localSheetId="2" hidden="1">'UCBbz 250 (schálný ČS)+nové ŠMS'!$A$1:$U$114</definedName>
    <definedName name="_xlnm._FilterDatabase" localSheetId="0" hidden="1">UR!$A$1:$U$114</definedName>
    <definedName name="_xlnm._FilterDatabase" localSheetId="12" hidden="1">'ÚVĚRY EP+IM 07_05_2021+REAKT'!$A$1:$U$132</definedName>
    <definedName name="_xlnm._FilterDatabase" localSheetId="7" hidden="1">'ÚVĚRY EP+IM 14_05_2021'!$A$1:$W$134</definedName>
    <definedName name="_xlnm._FilterDatabase" localSheetId="5" hidden="1">'ÚVĚRY EPaIM 29_04_2021'!$A$1:$U$119</definedName>
    <definedName name="_xlnm._FilterDatabase" localSheetId="6" hidden="1">'ÚVĚRY Kalkulačka 29_04_2021'!$A$1:$U$119</definedName>
    <definedName name="_xlnm._FilterDatabase" localSheetId="4" hidden="1">'ÚVĚRY revize EP 27_04_2021'!$A$1:$U$119</definedName>
    <definedName name="DF_GRID_1">#REF!</definedName>
    <definedName name="kurz">[1]rozhodnutí!$N$31</definedName>
    <definedName name="_xlnm.Print_Titles" localSheetId="11">'Nový úvěr_projekty'!$3:$3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38" l="1"/>
  <c r="F6" i="38"/>
  <c r="I6" i="38" s="1"/>
  <c r="L6" i="38" s="1"/>
  <c r="O6" i="38" s="1"/>
  <c r="R6" i="38" s="1"/>
  <c r="U6" i="38" s="1"/>
  <c r="X6" i="38" s="1"/>
  <c r="F7" i="38"/>
  <c r="I7" i="38" s="1"/>
  <c r="L7" i="38" s="1"/>
  <c r="O7" i="38" s="1"/>
  <c r="R7" i="38" s="1"/>
  <c r="U7" i="38" s="1"/>
  <c r="X7" i="38" s="1"/>
  <c r="F8" i="38"/>
  <c r="I8" i="38" s="1"/>
  <c r="L8" i="38" s="1"/>
  <c r="O8" i="38" s="1"/>
  <c r="R8" i="38" s="1"/>
  <c r="U8" i="38" s="1"/>
  <c r="X8" i="38" s="1"/>
  <c r="F9" i="38"/>
  <c r="I9" i="38" s="1"/>
  <c r="L9" i="38" s="1"/>
  <c r="O9" i="38" s="1"/>
  <c r="R9" i="38" s="1"/>
  <c r="U9" i="38" s="1"/>
  <c r="X9" i="38" s="1"/>
  <c r="F10" i="38"/>
  <c r="I10" i="38" s="1"/>
  <c r="L10" i="38" s="1"/>
  <c r="O10" i="38" s="1"/>
  <c r="R10" i="38" s="1"/>
  <c r="U10" i="38" s="1"/>
  <c r="X10" i="38" s="1"/>
  <c r="F11" i="38"/>
  <c r="I11" i="38" s="1"/>
  <c r="L11" i="38" s="1"/>
  <c r="O11" i="38" s="1"/>
  <c r="R11" i="38" s="1"/>
  <c r="U11" i="38" s="1"/>
  <c r="X11" i="38" s="1"/>
  <c r="F12" i="38"/>
  <c r="I12" i="38" s="1"/>
  <c r="L12" i="38" s="1"/>
  <c r="O12" i="38" s="1"/>
  <c r="R12" i="38" s="1"/>
  <c r="U12" i="38" s="1"/>
  <c r="X12" i="38" s="1"/>
  <c r="F13" i="38"/>
  <c r="I13" i="38" s="1"/>
  <c r="L13" i="38" s="1"/>
  <c r="O13" i="38" s="1"/>
  <c r="R13" i="38" s="1"/>
  <c r="U13" i="38" s="1"/>
  <c r="X13" i="38" s="1"/>
  <c r="F14" i="38"/>
  <c r="I14" i="38" s="1"/>
  <c r="L14" i="38" s="1"/>
  <c r="O14" i="38" s="1"/>
  <c r="R14" i="38" s="1"/>
  <c r="U14" i="38" s="1"/>
  <c r="X14" i="38" s="1"/>
  <c r="F15" i="38"/>
  <c r="I15" i="38" s="1"/>
  <c r="L15" i="38" s="1"/>
  <c r="O15" i="38" s="1"/>
  <c r="R15" i="38" s="1"/>
  <c r="U15" i="38" s="1"/>
  <c r="X15" i="38" s="1"/>
  <c r="F16" i="38"/>
  <c r="I16" i="38" s="1"/>
  <c r="L16" i="38" s="1"/>
  <c r="O16" i="38" s="1"/>
  <c r="R16" i="38" s="1"/>
  <c r="U16" i="38" s="1"/>
  <c r="X16" i="38" s="1"/>
  <c r="F17" i="38"/>
  <c r="I17" i="38" s="1"/>
  <c r="L17" i="38" s="1"/>
  <c r="O17" i="38" s="1"/>
  <c r="R17" i="38" s="1"/>
  <c r="U17" i="38" s="1"/>
  <c r="X17" i="38" s="1"/>
  <c r="F18" i="38"/>
  <c r="I18" i="38" s="1"/>
  <c r="L18" i="38" s="1"/>
  <c r="O18" i="38" s="1"/>
  <c r="R18" i="38" s="1"/>
  <c r="U18" i="38" s="1"/>
  <c r="X18" i="38" s="1"/>
  <c r="F19" i="38"/>
  <c r="I19" i="38" s="1"/>
  <c r="L19" i="38" s="1"/>
  <c r="O19" i="38" s="1"/>
  <c r="R19" i="38" s="1"/>
  <c r="U19" i="38" s="1"/>
  <c r="X19" i="38" s="1"/>
  <c r="F20" i="38"/>
  <c r="I20" i="38" s="1"/>
  <c r="L20" i="38" s="1"/>
  <c r="O20" i="38" s="1"/>
  <c r="R20" i="38" s="1"/>
  <c r="U20" i="38" s="1"/>
  <c r="X20" i="38" s="1"/>
  <c r="F21" i="38"/>
  <c r="I21" i="38" s="1"/>
  <c r="L21" i="38" s="1"/>
  <c r="O21" i="38" s="1"/>
  <c r="R21" i="38" s="1"/>
  <c r="U21" i="38" s="1"/>
  <c r="X21" i="38" s="1"/>
  <c r="F23" i="38"/>
  <c r="I23" i="38" s="1"/>
  <c r="L23" i="38" s="1"/>
  <c r="O23" i="38" s="1"/>
  <c r="R23" i="38" s="1"/>
  <c r="U23" i="38" s="1"/>
  <c r="X23" i="38" s="1"/>
  <c r="F25" i="38"/>
  <c r="I25" i="38" s="1"/>
  <c r="L25" i="38" s="1"/>
  <c r="O25" i="38" s="1"/>
  <c r="R25" i="38" s="1"/>
  <c r="U25" i="38" s="1"/>
  <c r="X25" i="38" s="1"/>
  <c r="F27" i="38"/>
  <c r="I27" i="38" s="1"/>
  <c r="L27" i="38" s="1"/>
  <c r="O27" i="38" s="1"/>
  <c r="R27" i="38" s="1"/>
  <c r="U27" i="38" s="1"/>
  <c r="X27" i="38" s="1"/>
  <c r="F28" i="38"/>
  <c r="I28" i="38" s="1"/>
  <c r="L28" i="38" s="1"/>
  <c r="O28" i="38" s="1"/>
  <c r="R28" i="38" s="1"/>
  <c r="U28" i="38" s="1"/>
  <c r="X28" i="38" s="1"/>
  <c r="F29" i="38"/>
  <c r="I29" i="38" s="1"/>
  <c r="L29" i="38" s="1"/>
  <c r="O29" i="38" s="1"/>
  <c r="R29" i="38" s="1"/>
  <c r="U29" i="38" s="1"/>
  <c r="X29" i="38" s="1"/>
  <c r="F30" i="38"/>
  <c r="I30" i="38" s="1"/>
  <c r="L30" i="38" s="1"/>
  <c r="O30" i="38" s="1"/>
  <c r="R30" i="38" s="1"/>
  <c r="U30" i="38" s="1"/>
  <c r="X30" i="38" s="1"/>
  <c r="F31" i="38"/>
  <c r="I31" i="38" s="1"/>
  <c r="L31" i="38" s="1"/>
  <c r="O31" i="38" s="1"/>
  <c r="R31" i="38" s="1"/>
  <c r="U31" i="38" s="1"/>
  <c r="X31" i="38" s="1"/>
  <c r="F32" i="38"/>
  <c r="I32" i="38" s="1"/>
  <c r="L32" i="38" s="1"/>
  <c r="O32" i="38" s="1"/>
  <c r="R32" i="38" s="1"/>
  <c r="U32" i="38" s="1"/>
  <c r="X32" i="38" s="1"/>
  <c r="F33" i="38"/>
  <c r="I33" i="38" s="1"/>
  <c r="L33" i="38" s="1"/>
  <c r="O33" i="38" s="1"/>
  <c r="R33" i="38" s="1"/>
  <c r="U33" i="38" s="1"/>
  <c r="X33" i="38" s="1"/>
  <c r="F34" i="38"/>
  <c r="I34" i="38" s="1"/>
  <c r="L34" i="38" s="1"/>
  <c r="O34" i="38" s="1"/>
  <c r="R34" i="38" s="1"/>
  <c r="U34" i="38" s="1"/>
  <c r="X34" i="38" s="1"/>
  <c r="F35" i="38"/>
  <c r="I35" i="38" s="1"/>
  <c r="L35" i="38" s="1"/>
  <c r="O35" i="38" s="1"/>
  <c r="R35" i="38" s="1"/>
  <c r="U35" i="38" s="1"/>
  <c r="X35" i="38" s="1"/>
  <c r="F36" i="38"/>
  <c r="I36" i="38" s="1"/>
  <c r="L36" i="38" s="1"/>
  <c r="O36" i="38" s="1"/>
  <c r="R36" i="38" s="1"/>
  <c r="U36" i="38" s="1"/>
  <c r="X36" i="38" s="1"/>
  <c r="F37" i="38"/>
  <c r="I37" i="38" s="1"/>
  <c r="L37" i="38" s="1"/>
  <c r="O37" i="38" s="1"/>
  <c r="R37" i="38" s="1"/>
  <c r="U37" i="38" s="1"/>
  <c r="X37" i="38" s="1"/>
  <c r="F38" i="38"/>
  <c r="I38" i="38" s="1"/>
  <c r="L38" i="38" s="1"/>
  <c r="O38" i="38" s="1"/>
  <c r="R38" i="38" s="1"/>
  <c r="U38" i="38" s="1"/>
  <c r="X38" i="38" s="1"/>
  <c r="F39" i="38"/>
  <c r="I39" i="38" s="1"/>
  <c r="L39" i="38" s="1"/>
  <c r="O39" i="38" s="1"/>
  <c r="R39" i="38" s="1"/>
  <c r="U39" i="38" s="1"/>
  <c r="X39" i="38" s="1"/>
  <c r="F41" i="38"/>
  <c r="I41" i="38" s="1"/>
  <c r="L41" i="38" s="1"/>
  <c r="O41" i="38" s="1"/>
  <c r="R41" i="38" s="1"/>
  <c r="U41" i="38" s="1"/>
  <c r="X41" i="38" s="1"/>
  <c r="F42" i="38"/>
  <c r="I42" i="38" s="1"/>
  <c r="L42" i="38" s="1"/>
  <c r="O42" i="38" s="1"/>
  <c r="R42" i="38" s="1"/>
  <c r="U42" i="38" s="1"/>
  <c r="X42" i="38" s="1"/>
  <c r="F44" i="38"/>
  <c r="I44" i="38" s="1"/>
  <c r="L44" i="38" s="1"/>
  <c r="O44" i="38" s="1"/>
  <c r="R44" i="38" s="1"/>
  <c r="U44" i="38" s="1"/>
  <c r="X44" i="38" s="1"/>
  <c r="F45" i="38"/>
  <c r="I45" i="38" s="1"/>
  <c r="L45" i="38" s="1"/>
  <c r="O45" i="38" s="1"/>
  <c r="R45" i="38" s="1"/>
  <c r="U45" i="38" s="1"/>
  <c r="X45" i="38" s="1"/>
  <c r="F46" i="38"/>
  <c r="I46" i="38" s="1"/>
  <c r="L46" i="38" s="1"/>
  <c r="O46" i="38" s="1"/>
  <c r="R46" i="38" s="1"/>
  <c r="U46" i="38" s="1"/>
  <c r="X46" i="38" s="1"/>
  <c r="F47" i="38"/>
  <c r="I47" i="38" s="1"/>
  <c r="L47" i="38" s="1"/>
  <c r="O47" i="38" s="1"/>
  <c r="R47" i="38" s="1"/>
  <c r="U47" i="38" s="1"/>
  <c r="X47" i="38" s="1"/>
  <c r="F48" i="38"/>
  <c r="I48" i="38" s="1"/>
  <c r="L48" i="38" s="1"/>
  <c r="O48" i="38" s="1"/>
  <c r="R48" i="38" s="1"/>
  <c r="U48" i="38" s="1"/>
  <c r="X48" i="38" s="1"/>
  <c r="F49" i="38"/>
  <c r="I49" i="38" s="1"/>
  <c r="L49" i="38" s="1"/>
  <c r="O49" i="38" s="1"/>
  <c r="R49" i="38" s="1"/>
  <c r="U49" i="38" s="1"/>
  <c r="X49" i="38" s="1"/>
  <c r="F50" i="38"/>
  <c r="I50" i="38" s="1"/>
  <c r="L50" i="38" s="1"/>
  <c r="O50" i="38" s="1"/>
  <c r="R50" i="38" s="1"/>
  <c r="U50" i="38" s="1"/>
  <c r="X50" i="38" s="1"/>
  <c r="F51" i="38"/>
  <c r="I51" i="38" s="1"/>
  <c r="L51" i="38" s="1"/>
  <c r="O51" i="38" s="1"/>
  <c r="R51" i="38" s="1"/>
  <c r="U51" i="38" s="1"/>
  <c r="X51" i="38" s="1"/>
  <c r="F52" i="38"/>
  <c r="I52" i="38" s="1"/>
  <c r="L52" i="38" s="1"/>
  <c r="O52" i="38" s="1"/>
  <c r="R52" i="38" s="1"/>
  <c r="U52" i="38" s="1"/>
  <c r="X52" i="38" s="1"/>
  <c r="F54" i="38"/>
  <c r="I54" i="38" s="1"/>
  <c r="L54" i="38" s="1"/>
  <c r="O54" i="38" s="1"/>
  <c r="R54" i="38" s="1"/>
  <c r="U54" i="38" s="1"/>
  <c r="X54" i="38" s="1"/>
  <c r="F55" i="38"/>
  <c r="I55" i="38" s="1"/>
  <c r="L55" i="38" s="1"/>
  <c r="O55" i="38" s="1"/>
  <c r="R55" i="38" s="1"/>
  <c r="U55" i="38" s="1"/>
  <c r="X55" i="38" s="1"/>
  <c r="F56" i="38"/>
  <c r="I56" i="38" s="1"/>
  <c r="L56" i="38" s="1"/>
  <c r="O56" i="38" s="1"/>
  <c r="R56" i="38" s="1"/>
  <c r="U56" i="38" s="1"/>
  <c r="X56" i="38" s="1"/>
  <c r="F57" i="38"/>
  <c r="I57" i="38" s="1"/>
  <c r="L57" i="38" s="1"/>
  <c r="O57" i="38" s="1"/>
  <c r="R57" i="38" s="1"/>
  <c r="U57" i="38" s="1"/>
  <c r="X57" i="38" s="1"/>
  <c r="F58" i="38"/>
  <c r="I58" i="38" s="1"/>
  <c r="L58" i="38" s="1"/>
  <c r="O58" i="38" s="1"/>
  <c r="R58" i="38" s="1"/>
  <c r="U58" i="38" s="1"/>
  <c r="X58" i="38" s="1"/>
  <c r="F59" i="38"/>
  <c r="I59" i="38" s="1"/>
  <c r="L59" i="38" s="1"/>
  <c r="O59" i="38" s="1"/>
  <c r="R59" i="38" s="1"/>
  <c r="U59" i="38" s="1"/>
  <c r="X59" i="38" s="1"/>
  <c r="F60" i="38"/>
  <c r="I60" i="38" s="1"/>
  <c r="L60" i="38" s="1"/>
  <c r="O60" i="38" s="1"/>
  <c r="R60" i="38" s="1"/>
  <c r="U60" i="38" s="1"/>
  <c r="X60" i="38" s="1"/>
  <c r="F61" i="38"/>
  <c r="I61" i="38" s="1"/>
  <c r="L61" i="38" s="1"/>
  <c r="O61" i="38" s="1"/>
  <c r="R61" i="38" s="1"/>
  <c r="U61" i="38" s="1"/>
  <c r="X61" i="38" s="1"/>
  <c r="F62" i="38"/>
  <c r="I62" i="38" s="1"/>
  <c r="L62" i="38" s="1"/>
  <c r="O62" i="38" s="1"/>
  <c r="R62" i="38" s="1"/>
  <c r="U62" i="38" s="1"/>
  <c r="X62" i="38" s="1"/>
  <c r="F63" i="38"/>
  <c r="I63" i="38" s="1"/>
  <c r="L63" i="38" s="1"/>
  <c r="O63" i="38" s="1"/>
  <c r="R63" i="38" s="1"/>
  <c r="U63" i="38" s="1"/>
  <c r="X63" i="38" s="1"/>
  <c r="F64" i="38"/>
  <c r="I64" i="38" s="1"/>
  <c r="L64" i="38" s="1"/>
  <c r="O64" i="38" s="1"/>
  <c r="R64" i="38" s="1"/>
  <c r="U64" i="38" s="1"/>
  <c r="X64" i="38" s="1"/>
  <c r="F65" i="38"/>
  <c r="I65" i="38" s="1"/>
  <c r="L65" i="38" s="1"/>
  <c r="O65" i="38" s="1"/>
  <c r="R65" i="38" s="1"/>
  <c r="U65" i="38" s="1"/>
  <c r="X65" i="38" s="1"/>
  <c r="F66" i="38"/>
  <c r="I66" i="38" s="1"/>
  <c r="L66" i="38" s="1"/>
  <c r="O66" i="38" s="1"/>
  <c r="R66" i="38" s="1"/>
  <c r="U66" i="38" s="1"/>
  <c r="X66" i="38" s="1"/>
  <c r="F67" i="38"/>
  <c r="I67" i="38" s="1"/>
  <c r="L67" i="38" s="1"/>
  <c r="O67" i="38" s="1"/>
  <c r="R67" i="38" s="1"/>
  <c r="U67" i="38" s="1"/>
  <c r="X67" i="38" s="1"/>
  <c r="F69" i="38"/>
  <c r="I69" i="38" s="1"/>
  <c r="L69" i="38" s="1"/>
  <c r="O69" i="38" s="1"/>
  <c r="R69" i="38" s="1"/>
  <c r="U69" i="38" s="1"/>
  <c r="X69" i="38" s="1"/>
  <c r="F70" i="38"/>
  <c r="I70" i="38" s="1"/>
  <c r="L70" i="38" s="1"/>
  <c r="O70" i="38" s="1"/>
  <c r="R70" i="38" s="1"/>
  <c r="U70" i="38" s="1"/>
  <c r="X70" i="38" s="1"/>
  <c r="F71" i="38"/>
  <c r="I71" i="38" s="1"/>
  <c r="L71" i="38" s="1"/>
  <c r="O71" i="38" s="1"/>
  <c r="R71" i="38" s="1"/>
  <c r="U71" i="38" s="1"/>
  <c r="X71" i="38" s="1"/>
  <c r="F73" i="38"/>
  <c r="I73" i="38" s="1"/>
  <c r="L73" i="38" s="1"/>
  <c r="O73" i="38" s="1"/>
  <c r="R73" i="38" s="1"/>
  <c r="U73" i="38" s="1"/>
  <c r="X73" i="38" s="1"/>
  <c r="F75" i="38"/>
  <c r="I75" i="38" s="1"/>
  <c r="L75" i="38" s="1"/>
  <c r="O75" i="38" s="1"/>
  <c r="R75" i="38" s="1"/>
  <c r="U75" i="38" s="1"/>
  <c r="X75" i="38" s="1"/>
  <c r="F4" i="38"/>
  <c r="I4" i="38" s="1"/>
  <c r="L4" i="38" s="1"/>
  <c r="O4" i="38" s="1"/>
  <c r="R4" i="38" s="1"/>
  <c r="U4" i="38" s="1"/>
  <c r="X4" i="38" s="1"/>
  <c r="W78" i="38"/>
  <c r="V78" i="38"/>
  <c r="T78" i="38"/>
  <c r="S78" i="38"/>
  <c r="Q78" i="38"/>
  <c r="P78" i="38"/>
  <c r="N78" i="38"/>
  <c r="M78" i="38"/>
  <c r="K78" i="38"/>
  <c r="J78" i="38"/>
  <c r="H78" i="38"/>
  <c r="G78" i="38"/>
  <c r="E78" i="38"/>
  <c r="D78" i="38"/>
  <c r="W76" i="38"/>
  <c r="V76" i="38"/>
  <c r="T76" i="38"/>
  <c r="S76" i="38"/>
  <c r="Q76" i="38"/>
  <c r="P76" i="38"/>
  <c r="N76" i="38"/>
  <c r="M76" i="38"/>
  <c r="K76" i="38"/>
  <c r="J76" i="38"/>
  <c r="H76" i="38"/>
  <c r="G76" i="38"/>
  <c r="E76" i="38"/>
  <c r="D76" i="38"/>
  <c r="W74" i="38"/>
  <c r="V74" i="38"/>
  <c r="T74" i="38"/>
  <c r="S74" i="38"/>
  <c r="Q74" i="38"/>
  <c r="P74" i="38"/>
  <c r="N74" i="38"/>
  <c r="M74" i="38"/>
  <c r="K74" i="38"/>
  <c r="J74" i="38"/>
  <c r="H74" i="38"/>
  <c r="G74" i="38"/>
  <c r="E74" i="38"/>
  <c r="D74" i="38"/>
  <c r="W72" i="38"/>
  <c r="V72" i="38"/>
  <c r="T72" i="38"/>
  <c r="S72" i="38"/>
  <c r="Q72" i="38"/>
  <c r="P72" i="38"/>
  <c r="N72" i="38"/>
  <c r="M72" i="38"/>
  <c r="K72" i="38"/>
  <c r="J72" i="38"/>
  <c r="H72" i="38"/>
  <c r="G72" i="38"/>
  <c r="E72" i="38"/>
  <c r="D72" i="38"/>
  <c r="F72" i="38" s="1"/>
  <c r="W68" i="38"/>
  <c r="V68" i="38"/>
  <c r="T68" i="38"/>
  <c r="S68" i="38"/>
  <c r="Q68" i="38"/>
  <c r="P68" i="38"/>
  <c r="N68" i="38"/>
  <c r="M68" i="38"/>
  <c r="K68" i="38"/>
  <c r="J68" i="38"/>
  <c r="H68" i="38"/>
  <c r="G68" i="38"/>
  <c r="E68" i="38"/>
  <c r="D68" i="38"/>
  <c r="W53" i="38"/>
  <c r="V53" i="38"/>
  <c r="T53" i="38"/>
  <c r="S53" i="38"/>
  <c r="Q53" i="38"/>
  <c r="P53" i="38"/>
  <c r="N53" i="38"/>
  <c r="M53" i="38"/>
  <c r="K53" i="38"/>
  <c r="J53" i="38"/>
  <c r="H53" i="38"/>
  <c r="G53" i="38"/>
  <c r="E53" i="38"/>
  <c r="D53" i="38"/>
  <c r="W43" i="38"/>
  <c r="V43" i="38"/>
  <c r="T43" i="38"/>
  <c r="S43" i="38"/>
  <c r="Q43" i="38"/>
  <c r="P43" i="38"/>
  <c r="N43" i="38"/>
  <c r="M43" i="38"/>
  <c r="K43" i="38"/>
  <c r="J43" i="38"/>
  <c r="H43" i="38"/>
  <c r="G43" i="38"/>
  <c r="E43" i="38"/>
  <c r="D43" i="38"/>
  <c r="W40" i="38"/>
  <c r="V40" i="38"/>
  <c r="T40" i="38"/>
  <c r="S40" i="38"/>
  <c r="Q40" i="38"/>
  <c r="P40" i="38"/>
  <c r="N40" i="38"/>
  <c r="M40" i="38"/>
  <c r="K40" i="38"/>
  <c r="J40" i="38"/>
  <c r="H40" i="38"/>
  <c r="G40" i="38"/>
  <c r="E40" i="38"/>
  <c r="D40" i="38"/>
  <c r="F40" i="38" s="1"/>
  <c r="W26" i="38"/>
  <c r="V26" i="38"/>
  <c r="T26" i="38"/>
  <c r="S26" i="38"/>
  <c r="Q26" i="38"/>
  <c r="P26" i="38"/>
  <c r="N26" i="38"/>
  <c r="M26" i="38"/>
  <c r="K26" i="38"/>
  <c r="J26" i="38"/>
  <c r="H26" i="38"/>
  <c r="G26" i="38"/>
  <c r="E26" i="38"/>
  <c r="D26" i="38"/>
  <c r="W24" i="38"/>
  <c r="V24" i="38"/>
  <c r="T24" i="38"/>
  <c r="S24" i="38"/>
  <c r="Q24" i="38"/>
  <c r="P24" i="38"/>
  <c r="N24" i="38"/>
  <c r="M24" i="38"/>
  <c r="K24" i="38"/>
  <c r="J24" i="38"/>
  <c r="H24" i="38"/>
  <c r="G24" i="38"/>
  <c r="E24" i="38"/>
  <c r="D24" i="38"/>
  <c r="W22" i="38"/>
  <c r="V22" i="38"/>
  <c r="T22" i="38"/>
  <c r="S22" i="38"/>
  <c r="Q22" i="38"/>
  <c r="P22" i="38"/>
  <c r="N22" i="38"/>
  <c r="M22" i="38"/>
  <c r="K22" i="38"/>
  <c r="J22" i="38"/>
  <c r="H22" i="38"/>
  <c r="G22" i="38"/>
  <c r="E22" i="38"/>
  <c r="D22" i="38"/>
  <c r="W5" i="38"/>
  <c r="V5" i="38"/>
  <c r="T5" i="38"/>
  <c r="S5" i="38"/>
  <c r="Q5" i="38"/>
  <c r="P5" i="38"/>
  <c r="N5" i="38"/>
  <c r="M5" i="38"/>
  <c r="K5" i="38"/>
  <c r="J5" i="38"/>
  <c r="H5" i="38"/>
  <c r="G5" i="38"/>
  <c r="D5" i="38"/>
  <c r="I40" i="38" l="1"/>
  <c r="L40" i="38" s="1"/>
  <c r="O40" i="38" s="1"/>
  <c r="R40" i="38" s="1"/>
  <c r="U40" i="38" s="1"/>
  <c r="X40" i="38" s="1"/>
  <c r="I72" i="38"/>
  <c r="L72" i="38" s="1"/>
  <c r="O72" i="38" s="1"/>
  <c r="R72" i="38" s="1"/>
  <c r="U72" i="38" s="1"/>
  <c r="X72" i="38" s="1"/>
  <c r="F24" i="38"/>
  <c r="F53" i="38"/>
  <c r="I53" i="38" s="1"/>
  <c r="L53" i="38" s="1"/>
  <c r="O53" i="38" s="1"/>
  <c r="R53" i="38" s="1"/>
  <c r="U53" i="38" s="1"/>
  <c r="X53" i="38" s="1"/>
  <c r="F76" i="38"/>
  <c r="I76" i="38" s="1"/>
  <c r="L76" i="38" s="1"/>
  <c r="O76" i="38" s="1"/>
  <c r="R76" i="38" s="1"/>
  <c r="U76" i="38" s="1"/>
  <c r="X76" i="38" s="1"/>
  <c r="F5" i="38"/>
  <c r="I5" i="38" s="1"/>
  <c r="L5" i="38" s="1"/>
  <c r="O5" i="38" s="1"/>
  <c r="R5" i="38" s="1"/>
  <c r="U5" i="38" s="1"/>
  <c r="X5" i="38" s="1"/>
  <c r="F26" i="38"/>
  <c r="I26" i="38" s="1"/>
  <c r="L26" i="38" s="1"/>
  <c r="O26" i="38" s="1"/>
  <c r="R26" i="38" s="1"/>
  <c r="U26" i="38" s="1"/>
  <c r="X26" i="38" s="1"/>
  <c r="F68" i="38"/>
  <c r="I68" i="38" s="1"/>
  <c r="L68" i="38" s="1"/>
  <c r="O68" i="38" s="1"/>
  <c r="R68" i="38" s="1"/>
  <c r="U68" i="38" s="1"/>
  <c r="X68" i="38" s="1"/>
  <c r="I24" i="38"/>
  <c r="L24" i="38" s="1"/>
  <c r="O24" i="38" s="1"/>
  <c r="R24" i="38" s="1"/>
  <c r="U24" i="38" s="1"/>
  <c r="X24" i="38" s="1"/>
  <c r="F22" i="38"/>
  <c r="I22" i="38" s="1"/>
  <c r="L22" i="38" s="1"/>
  <c r="O22" i="38" s="1"/>
  <c r="R22" i="38" s="1"/>
  <c r="U22" i="38" s="1"/>
  <c r="X22" i="38" s="1"/>
  <c r="F43" i="38"/>
  <c r="I43" i="38" s="1"/>
  <c r="L43" i="38" s="1"/>
  <c r="O43" i="38" s="1"/>
  <c r="R43" i="38" s="1"/>
  <c r="U43" i="38" s="1"/>
  <c r="X43" i="38" s="1"/>
  <c r="F74" i="38"/>
  <c r="I74" i="38" s="1"/>
  <c r="L74" i="38" s="1"/>
  <c r="O74" i="38" s="1"/>
  <c r="R74" i="38" s="1"/>
  <c r="U74" i="38" s="1"/>
  <c r="X74" i="38" s="1"/>
  <c r="D77" i="38"/>
  <c r="N77" i="38"/>
  <c r="W77" i="38"/>
  <c r="H77" i="38"/>
  <c r="P77" i="38"/>
  <c r="J77" i="38"/>
  <c r="V77" i="38"/>
  <c r="G77" i="38"/>
  <c r="Q77" i="38"/>
  <c r="K77" i="38"/>
  <c r="S77" i="38"/>
  <c r="T77" i="38"/>
  <c r="E77" i="38"/>
  <c r="M77" i="38"/>
  <c r="F77" i="38" l="1"/>
  <c r="I77" i="38" s="1"/>
  <c r="L77" i="38" s="1"/>
  <c r="O77" i="38" s="1"/>
  <c r="R77" i="38" s="1"/>
  <c r="U77" i="38" s="1"/>
  <c r="X77" i="38" s="1"/>
  <c r="N199" i="21" l="1"/>
  <c r="N198" i="21"/>
  <c r="AL77" i="21" l="1"/>
  <c r="L66" i="21" l="1"/>
  <c r="AL38" i="21"/>
  <c r="AL39" i="21"/>
  <c r="AL40" i="21"/>
  <c r="AL41" i="21"/>
  <c r="D42" i="21"/>
  <c r="E42" i="21"/>
  <c r="F42" i="21"/>
  <c r="G42" i="21"/>
  <c r="H42" i="21"/>
  <c r="I42" i="21"/>
  <c r="K42" i="21"/>
  <c r="L42" i="21"/>
  <c r="M42" i="21"/>
  <c r="N42" i="21"/>
  <c r="O42" i="21"/>
  <c r="P42" i="21"/>
  <c r="Q42" i="21"/>
  <c r="R42" i="21"/>
  <c r="S42" i="21"/>
  <c r="T42" i="21"/>
  <c r="U42" i="21"/>
  <c r="V42" i="21"/>
  <c r="W42" i="21"/>
  <c r="X42" i="21"/>
  <c r="Y42" i="21"/>
  <c r="Z42" i="21"/>
  <c r="AA42" i="21"/>
  <c r="AB42" i="21"/>
  <c r="AC42" i="21"/>
  <c r="AD42" i="21"/>
  <c r="AE42" i="21"/>
  <c r="AF42" i="21"/>
  <c r="AG42" i="21"/>
  <c r="AH42" i="21"/>
  <c r="AI42" i="21"/>
  <c r="AJ42" i="21"/>
  <c r="AK42" i="21"/>
  <c r="C42" i="21"/>
  <c r="D220" i="21"/>
  <c r="AA138" i="21"/>
  <c r="U138" i="21"/>
  <c r="AH200" i="21"/>
  <c r="AD200" i="21"/>
  <c r="AA161" i="21"/>
  <c r="AA159" i="21"/>
  <c r="AD161" i="21"/>
  <c r="AD159" i="21"/>
  <c r="AD156" i="21"/>
  <c r="AH161" i="21"/>
  <c r="AH159" i="21"/>
  <c r="AH156" i="21"/>
  <c r="AH138" i="21"/>
  <c r="AD138" i="21"/>
  <c r="AH84" i="21"/>
  <c r="AD84" i="21"/>
  <c r="AH66" i="21"/>
  <c r="AD66" i="21"/>
  <c r="AH202" i="21" l="1"/>
  <c r="K206" i="21" s="1"/>
  <c r="AD202" i="21"/>
  <c r="J206" i="21" s="1"/>
  <c r="H5" i="21" l="1"/>
  <c r="I5" i="21"/>
  <c r="J5" i="21"/>
  <c r="K5" i="21"/>
  <c r="L5" i="21"/>
  <c r="M5" i="21"/>
  <c r="N5" i="21"/>
  <c r="O5" i="21"/>
  <c r="P5" i="21"/>
  <c r="Q5" i="21"/>
  <c r="R5" i="21"/>
  <c r="S5" i="21"/>
  <c r="T5" i="21"/>
  <c r="U5" i="21"/>
  <c r="V5" i="21"/>
  <c r="W5" i="21"/>
  <c r="X5" i="21"/>
  <c r="Y5" i="21"/>
  <c r="Z5" i="21"/>
  <c r="AA5" i="21"/>
  <c r="AB5" i="21"/>
  <c r="AC5" i="21"/>
  <c r="AE5" i="21"/>
  <c r="AF5" i="21"/>
  <c r="AG5" i="21"/>
  <c r="AI5" i="21"/>
  <c r="AJ5" i="21"/>
  <c r="AK5" i="21"/>
  <c r="G5" i="21"/>
  <c r="K182" i="21" l="1"/>
  <c r="J169" i="21" l="1"/>
  <c r="J33" i="21"/>
  <c r="J21" i="21"/>
  <c r="J15" i="21"/>
  <c r="J88" i="21"/>
  <c r="J56" i="21"/>
  <c r="J16" i="21"/>
  <c r="D5" i="21" l="1"/>
  <c r="E5" i="21"/>
  <c r="F5" i="21"/>
  <c r="C5" i="21"/>
  <c r="AL5" i="21" l="1"/>
  <c r="K218" i="21"/>
  <c r="E220" i="21"/>
  <c r="F220" i="21" s="1"/>
  <c r="C213" i="21"/>
  <c r="AL203" i="21"/>
  <c r="AK200" i="21"/>
  <c r="AJ200" i="21"/>
  <c r="AI200" i="21"/>
  <c r="AG200" i="21"/>
  <c r="AF200" i="21"/>
  <c r="AE200" i="21"/>
  <c r="AC200" i="21"/>
  <c r="AB200" i="21"/>
  <c r="AA200" i="21"/>
  <c r="Z200" i="21"/>
  <c r="Y200" i="21"/>
  <c r="X200" i="21"/>
  <c r="W200" i="21"/>
  <c r="V200" i="21"/>
  <c r="U200" i="21"/>
  <c r="T200" i="21"/>
  <c r="S200" i="21"/>
  <c r="R200" i="21"/>
  <c r="Q200" i="21"/>
  <c r="Q202" i="21" s="1"/>
  <c r="P200" i="21"/>
  <c r="O200" i="21"/>
  <c r="N200" i="21"/>
  <c r="M200" i="21"/>
  <c r="L200" i="21"/>
  <c r="I200" i="21"/>
  <c r="H200" i="21"/>
  <c r="G200" i="21"/>
  <c r="F200" i="21"/>
  <c r="E200" i="21"/>
  <c r="D200" i="21"/>
  <c r="C200" i="21"/>
  <c r="AL197" i="21"/>
  <c r="AL196" i="21"/>
  <c r="AL195" i="21"/>
  <c r="AL194" i="21"/>
  <c r="AL193" i="21"/>
  <c r="AL192" i="21"/>
  <c r="AL191" i="21"/>
  <c r="AL190" i="21"/>
  <c r="K189" i="21"/>
  <c r="J189" i="21"/>
  <c r="AL188" i="21"/>
  <c r="AL187" i="21"/>
  <c r="AL186" i="21"/>
  <c r="AL185" i="21"/>
  <c r="AL184" i="21"/>
  <c r="AL183" i="21"/>
  <c r="AL182" i="21"/>
  <c r="K181" i="21"/>
  <c r="AL181" i="21" s="1"/>
  <c r="AL180" i="21"/>
  <c r="AL179" i="21"/>
  <c r="AL178" i="21"/>
  <c r="AL177" i="21"/>
  <c r="AL176" i="21"/>
  <c r="AL175" i="21"/>
  <c r="AL174" i="21"/>
  <c r="AL173" i="21"/>
  <c r="AL172" i="21"/>
  <c r="AL171" i="21"/>
  <c r="AL170" i="21"/>
  <c r="AL169" i="21"/>
  <c r="AL168" i="21"/>
  <c r="AL167" i="21"/>
  <c r="K166" i="21"/>
  <c r="J166" i="21"/>
  <c r="J200" i="21" s="1"/>
  <c r="K165" i="21"/>
  <c r="AL164" i="21"/>
  <c r="AK161" i="21"/>
  <c r="AJ161" i="21"/>
  <c r="AI161" i="21"/>
  <c r="AG161" i="21"/>
  <c r="AF161" i="21"/>
  <c r="AE161" i="21"/>
  <c r="AC161" i="21"/>
  <c r="AB161" i="21"/>
  <c r="Z161" i="21"/>
  <c r="Y161" i="21"/>
  <c r="X161" i="21"/>
  <c r="W161" i="21"/>
  <c r="V161" i="21"/>
  <c r="T161" i="21"/>
  <c r="S161" i="21"/>
  <c r="R161" i="21"/>
  <c r="Q161" i="21"/>
  <c r="P161" i="21"/>
  <c r="O161" i="21"/>
  <c r="N161" i="21"/>
  <c r="M161" i="21"/>
  <c r="L161" i="21"/>
  <c r="K161" i="21"/>
  <c r="J161" i="21"/>
  <c r="I161" i="21"/>
  <c r="H161" i="21"/>
  <c r="G161" i="21"/>
  <c r="F161" i="21"/>
  <c r="E161" i="21"/>
  <c r="D161" i="21"/>
  <c r="C161" i="21"/>
  <c r="AL160" i="21"/>
  <c r="AK47" i="21"/>
  <c r="AJ47" i="21"/>
  <c r="AI47" i="21"/>
  <c r="AG47" i="21"/>
  <c r="AF47" i="21"/>
  <c r="AE47" i="21"/>
  <c r="AC47" i="21"/>
  <c r="AB47" i="21"/>
  <c r="Z47" i="21"/>
  <c r="Y47" i="21"/>
  <c r="X47" i="21"/>
  <c r="W47" i="21"/>
  <c r="V47" i="21"/>
  <c r="T47" i="21"/>
  <c r="R47" i="21"/>
  <c r="Q47" i="21"/>
  <c r="P47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AL46" i="21"/>
  <c r="S45" i="21"/>
  <c r="S47" i="21" s="1"/>
  <c r="O45" i="21"/>
  <c r="AL44" i="21"/>
  <c r="AL43" i="21"/>
  <c r="AK159" i="21"/>
  <c r="AJ159" i="21"/>
  <c r="AI159" i="21"/>
  <c r="AG159" i="21"/>
  <c r="AF159" i="21"/>
  <c r="AE159" i="21"/>
  <c r="AC159" i="21"/>
  <c r="AB159" i="21"/>
  <c r="Z159" i="21"/>
  <c r="Y159" i="21"/>
  <c r="X159" i="21"/>
  <c r="W159" i="21"/>
  <c r="V159" i="21"/>
  <c r="T159" i="21"/>
  <c r="S159" i="21"/>
  <c r="R159" i="21"/>
  <c r="Q159" i="21"/>
  <c r="O159" i="21"/>
  <c r="N159" i="21"/>
  <c r="M159" i="21"/>
  <c r="L159" i="21"/>
  <c r="K159" i="21"/>
  <c r="J159" i="21"/>
  <c r="I159" i="21"/>
  <c r="H159" i="21"/>
  <c r="G159" i="21"/>
  <c r="F159" i="21"/>
  <c r="E159" i="21"/>
  <c r="D159" i="21"/>
  <c r="C159" i="21"/>
  <c r="AL158" i="21"/>
  <c r="AL157" i="21"/>
  <c r="AK156" i="21"/>
  <c r="AJ156" i="21"/>
  <c r="AI156" i="21"/>
  <c r="AG156" i="21"/>
  <c r="AF156" i="21"/>
  <c r="AE156" i="21"/>
  <c r="AC156" i="21"/>
  <c r="AB156" i="21"/>
  <c r="AA156" i="21"/>
  <c r="Z156" i="21"/>
  <c r="Y156" i="21"/>
  <c r="X156" i="21"/>
  <c r="W156" i="21"/>
  <c r="V156" i="21"/>
  <c r="U156" i="21"/>
  <c r="T156" i="21"/>
  <c r="S156" i="21"/>
  <c r="R156" i="21"/>
  <c r="Q156" i="21"/>
  <c r="P156" i="21"/>
  <c r="O156" i="21"/>
  <c r="N156" i="21"/>
  <c r="M156" i="21"/>
  <c r="L156" i="21"/>
  <c r="K156" i="21"/>
  <c r="J156" i="21"/>
  <c r="I156" i="21"/>
  <c r="H156" i="21"/>
  <c r="G156" i="21"/>
  <c r="F156" i="21"/>
  <c r="E156" i="21"/>
  <c r="D156" i="21"/>
  <c r="C156" i="21"/>
  <c r="AL155" i="21"/>
  <c r="AL154" i="21"/>
  <c r="AL153" i="21"/>
  <c r="AL152" i="21"/>
  <c r="AL151" i="21"/>
  <c r="AL150" i="21"/>
  <c r="AL149" i="21"/>
  <c r="AL148" i="21"/>
  <c r="AL147" i="21"/>
  <c r="AL146" i="21"/>
  <c r="AL145" i="21"/>
  <c r="AL144" i="21"/>
  <c r="AL143" i="21"/>
  <c r="AL142" i="21"/>
  <c r="AL141" i="21"/>
  <c r="AL140" i="21"/>
  <c r="AL139" i="21"/>
  <c r="AK138" i="21"/>
  <c r="AJ138" i="21"/>
  <c r="AI138" i="21"/>
  <c r="AG138" i="21"/>
  <c r="AF138" i="21"/>
  <c r="AE138" i="21"/>
  <c r="AC138" i="21"/>
  <c r="AB138" i="21"/>
  <c r="Z138" i="21"/>
  <c r="Y138" i="21"/>
  <c r="X138" i="21"/>
  <c r="W138" i="21"/>
  <c r="V138" i="21"/>
  <c r="T138" i="21"/>
  <c r="S138" i="21"/>
  <c r="R138" i="21"/>
  <c r="Q138" i="21"/>
  <c r="P138" i="21"/>
  <c r="O138" i="21"/>
  <c r="N138" i="21"/>
  <c r="M138" i="21"/>
  <c r="L138" i="21"/>
  <c r="K138" i="21"/>
  <c r="I138" i="21"/>
  <c r="H138" i="21"/>
  <c r="F138" i="21"/>
  <c r="E138" i="21"/>
  <c r="D138" i="21"/>
  <c r="C138" i="21"/>
  <c r="AL137" i="21"/>
  <c r="AL135" i="21"/>
  <c r="AL134" i="21"/>
  <c r="AL133" i="21"/>
  <c r="AL132" i="21"/>
  <c r="AL131" i="21"/>
  <c r="AL130" i="21"/>
  <c r="AL129" i="21"/>
  <c r="AL128" i="21"/>
  <c r="AL127" i="21"/>
  <c r="AL126" i="21"/>
  <c r="AL125" i="21"/>
  <c r="AL124" i="21"/>
  <c r="AL123" i="21"/>
  <c r="G123" i="21"/>
  <c r="G138" i="21" s="1"/>
  <c r="AL122" i="21"/>
  <c r="AL121" i="21"/>
  <c r="AL120" i="21"/>
  <c r="AL119" i="21"/>
  <c r="AL118" i="21"/>
  <c r="AL117" i="21"/>
  <c r="AL116" i="21"/>
  <c r="AL115" i="21"/>
  <c r="AL114" i="21"/>
  <c r="AL113" i="21"/>
  <c r="AL112" i="21"/>
  <c r="AL111" i="21"/>
  <c r="AL110" i="21"/>
  <c r="AL109" i="21"/>
  <c r="AL108" i="21"/>
  <c r="AL107" i="21"/>
  <c r="AL106" i="21"/>
  <c r="AL105" i="21"/>
  <c r="AL104" i="21"/>
  <c r="AL103" i="21"/>
  <c r="AL102" i="21"/>
  <c r="AL101" i="21"/>
  <c r="AL100" i="21"/>
  <c r="AL99" i="21"/>
  <c r="AL98" i="21"/>
  <c r="AL97" i="21"/>
  <c r="J138" i="21"/>
  <c r="AL95" i="21"/>
  <c r="AL94" i="21"/>
  <c r="AL93" i="21"/>
  <c r="AL92" i="21"/>
  <c r="AL91" i="21"/>
  <c r="AL90" i="21"/>
  <c r="AL89" i="21"/>
  <c r="AL88" i="21"/>
  <c r="AL87" i="21"/>
  <c r="AL86" i="21"/>
  <c r="AL85" i="21"/>
  <c r="AK84" i="21"/>
  <c r="AJ84" i="21"/>
  <c r="AI84" i="21"/>
  <c r="AG84" i="21"/>
  <c r="AF84" i="21"/>
  <c r="AE84" i="21"/>
  <c r="AC84" i="21"/>
  <c r="AB84" i="21"/>
  <c r="AA84" i="21"/>
  <c r="Z84" i="21"/>
  <c r="Y84" i="21"/>
  <c r="X84" i="21"/>
  <c r="W84" i="21"/>
  <c r="V84" i="21"/>
  <c r="U84" i="21"/>
  <c r="T84" i="21"/>
  <c r="S84" i="21"/>
  <c r="R84" i="21"/>
  <c r="Q84" i="21"/>
  <c r="P84" i="21"/>
  <c r="O84" i="21"/>
  <c r="N84" i="21"/>
  <c r="M84" i="21"/>
  <c r="L84" i="21"/>
  <c r="K84" i="21"/>
  <c r="I84" i="21"/>
  <c r="H84" i="21"/>
  <c r="G84" i="21"/>
  <c r="F84" i="21"/>
  <c r="E84" i="21"/>
  <c r="D84" i="21"/>
  <c r="C84" i="21"/>
  <c r="AL83" i="21"/>
  <c r="AL82" i="21"/>
  <c r="AL81" i="21"/>
  <c r="AL80" i="21"/>
  <c r="AL79" i="21"/>
  <c r="AL78" i="21"/>
  <c r="AL76" i="21"/>
  <c r="AL75" i="21"/>
  <c r="AL74" i="21"/>
  <c r="AL73" i="21"/>
  <c r="AL72" i="21"/>
  <c r="AL71" i="21"/>
  <c r="J69" i="21"/>
  <c r="AL69" i="21" s="1"/>
  <c r="J68" i="21"/>
  <c r="AL68" i="21" s="1"/>
  <c r="J67" i="21"/>
  <c r="AK66" i="21"/>
  <c r="AJ66" i="21"/>
  <c r="AI66" i="21"/>
  <c r="AG66" i="21"/>
  <c r="AF66" i="21"/>
  <c r="AE66" i="21"/>
  <c r="AC66" i="21"/>
  <c r="AB66" i="21"/>
  <c r="AA66" i="21"/>
  <c r="Z66" i="21"/>
  <c r="Y66" i="21"/>
  <c r="X66" i="21"/>
  <c r="W66" i="21"/>
  <c r="V66" i="21"/>
  <c r="U66" i="21"/>
  <c r="T66" i="21"/>
  <c r="S66" i="21"/>
  <c r="R66" i="21"/>
  <c r="Q66" i="21"/>
  <c r="P66" i="21"/>
  <c r="O66" i="21"/>
  <c r="N66" i="21"/>
  <c r="M66" i="21"/>
  <c r="J66" i="21"/>
  <c r="I66" i="21"/>
  <c r="H66" i="21"/>
  <c r="G66" i="21"/>
  <c r="F66" i="21"/>
  <c r="E66" i="21"/>
  <c r="D66" i="21"/>
  <c r="C66" i="21"/>
  <c r="AL64" i="21"/>
  <c r="AL65" i="21"/>
  <c r="AL63" i="21"/>
  <c r="AL62" i="21"/>
  <c r="AL61" i="21"/>
  <c r="AL58" i="21"/>
  <c r="AL57" i="21"/>
  <c r="AL56" i="21"/>
  <c r="AL55" i="21"/>
  <c r="AL54" i="21"/>
  <c r="K53" i="21"/>
  <c r="AL53" i="21" s="1"/>
  <c r="AL52" i="21"/>
  <c r="AL51" i="21"/>
  <c r="AL50" i="21"/>
  <c r="AL49" i="21"/>
  <c r="K48" i="21"/>
  <c r="AL37" i="21"/>
  <c r="AL36" i="21"/>
  <c r="J34" i="21"/>
  <c r="AL34" i="21" s="1"/>
  <c r="AL33" i="21"/>
  <c r="J32" i="21"/>
  <c r="AL31" i="21"/>
  <c r="AL30" i="21"/>
  <c r="AL29" i="21"/>
  <c r="AL28" i="21"/>
  <c r="AL27" i="21"/>
  <c r="AL26" i="21"/>
  <c r="AL25" i="21"/>
  <c r="AL24" i="21"/>
  <c r="AL23" i="21"/>
  <c r="AL22" i="21"/>
  <c r="AL21" i="21"/>
  <c r="AL20" i="21"/>
  <c r="AL19" i="21"/>
  <c r="AL18" i="21"/>
  <c r="AL17" i="21"/>
  <c r="AL16" i="21"/>
  <c r="AL15" i="21"/>
  <c r="AL14" i="21"/>
  <c r="AL13" i="21"/>
  <c r="AL12" i="21"/>
  <c r="AL11" i="21"/>
  <c r="AL10" i="21"/>
  <c r="AL9" i="21"/>
  <c r="AL8" i="21"/>
  <c r="AL7" i="21"/>
  <c r="AL4" i="21"/>
  <c r="AL6" i="21"/>
  <c r="AI102" i="20"/>
  <c r="C145" i="20"/>
  <c r="D145" i="20"/>
  <c r="E145" i="20"/>
  <c r="F145" i="20"/>
  <c r="G145" i="20"/>
  <c r="H145" i="20"/>
  <c r="I145" i="20"/>
  <c r="J145" i="20"/>
  <c r="K145" i="20"/>
  <c r="L145" i="20"/>
  <c r="M145" i="20"/>
  <c r="N145" i="20"/>
  <c r="O145" i="20"/>
  <c r="P145" i="20"/>
  <c r="Q145" i="20"/>
  <c r="R145" i="20"/>
  <c r="S145" i="20"/>
  <c r="T145" i="20"/>
  <c r="U145" i="20"/>
  <c r="V145" i="20"/>
  <c r="W145" i="20"/>
  <c r="X145" i="20"/>
  <c r="Y145" i="20"/>
  <c r="Z145" i="20"/>
  <c r="AA145" i="20"/>
  <c r="AB145" i="20"/>
  <c r="AC145" i="20"/>
  <c r="AD145" i="20"/>
  <c r="AE145" i="20"/>
  <c r="AF145" i="20"/>
  <c r="AG145" i="20"/>
  <c r="AH145" i="20"/>
  <c r="B145" i="20"/>
  <c r="S74" i="20"/>
  <c r="S56" i="20"/>
  <c r="S37" i="20"/>
  <c r="S194" i="20"/>
  <c r="S155" i="20"/>
  <c r="S153" i="20"/>
  <c r="S148" i="20"/>
  <c r="S127" i="20"/>
  <c r="O127" i="20"/>
  <c r="J42" i="21" l="1"/>
  <c r="V202" i="21"/>
  <c r="I202" i="21"/>
  <c r="E209" i="21" s="1"/>
  <c r="W202" i="21"/>
  <c r="AC202" i="21"/>
  <c r="I219" i="21" s="1"/>
  <c r="AK202" i="21"/>
  <c r="K219" i="21" s="1"/>
  <c r="U162" i="21"/>
  <c r="L202" i="21"/>
  <c r="F206" i="21" s="1"/>
  <c r="R202" i="21"/>
  <c r="G213" i="21" s="1"/>
  <c r="X202" i="21"/>
  <c r="AE202" i="21"/>
  <c r="S202" i="21"/>
  <c r="G214" i="21" s="1"/>
  <c r="Y202" i="21"/>
  <c r="H214" i="21" s="1"/>
  <c r="AF202" i="21"/>
  <c r="J218" i="21" s="1"/>
  <c r="N202" i="21"/>
  <c r="F213" i="21" s="1"/>
  <c r="T202" i="21"/>
  <c r="G218" i="21" s="1"/>
  <c r="G220" i="21" s="1"/>
  <c r="Z202" i="21"/>
  <c r="H219" i="21" s="1"/>
  <c r="AG202" i="21"/>
  <c r="J219" i="21" s="1"/>
  <c r="G202" i="21"/>
  <c r="U202" i="21"/>
  <c r="AA202" i="21"/>
  <c r="AI202" i="21"/>
  <c r="H202" i="21"/>
  <c r="P202" i="21"/>
  <c r="G206" i="21" s="1"/>
  <c r="AB202" i="21"/>
  <c r="AJ202" i="21"/>
  <c r="M202" i="21"/>
  <c r="F209" i="21" s="1"/>
  <c r="K66" i="21"/>
  <c r="K162" i="21" s="1"/>
  <c r="J84" i="21"/>
  <c r="AL84" i="21" s="1"/>
  <c r="E206" i="21"/>
  <c r="AA162" i="21"/>
  <c r="E162" i="21"/>
  <c r="Q162" i="21"/>
  <c r="X162" i="21"/>
  <c r="AF162" i="21"/>
  <c r="AL156" i="21"/>
  <c r="F162" i="21"/>
  <c r="L162" i="21"/>
  <c r="R162" i="21"/>
  <c r="Y162" i="21"/>
  <c r="AG162" i="21"/>
  <c r="G162" i="21"/>
  <c r="M162" i="21"/>
  <c r="S162" i="21"/>
  <c r="Z162" i="21"/>
  <c r="AI162" i="21"/>
  <c r="H162" i="21"/>
  <c r="N162" i="21"/>
  <c r="T162" i="21"/>
  <c r="AB162" i="21"/>
  <c r="AJ162" i="21"/>
  <c r="C162" i="21"/>
  <c r="I162" i="21"/>
  <c r="V162" i="21"/>
  <c r="AC162" i="21"/>
  <c r="AK162" i="21"/>
  <c r="D162" i="21"/>
  <c r="J162" i="21"/>
  <c r="P162" i="21"/>
  <c r="W162" i="21"/>
  <c r="AE162" i="21"/>
  <c r="F202" i="21"/>
  <c r="D214" i="21" s="1"/>
  <c r="AL48" i="21"/>
  <c r="AL161" i="21"/>
  <c r="H206" i="21"/>
  <c r="I206" i="21"/>
  <c r="AL159" i="21"/>
  <c r="K200" i="21"/>
  <c r="H209" i="21"/>
  <c r="I218" i="21"/>
  <c r="AL45" i="21"/>
  <c r="G209" i="21"/>
  <c r="H213" i="21"/>
  <c r="F201" i="21"/>
  <c r="H218" i="21"/>
  <c r="AL166" i="21"/>
  <c r="AL189" i="21"/>
  <c r="E202" i="21"/>
  <c r="D213" i="21" s="1"/>
  <c r="AL66" i="21"/>
  <c r="AL42" i="21"/>
  <c r="AL138" i="21"/>
  <c r="AL67" i="21"/>
  <c r="O47" i="21"/>
  <c r="AL47" i="21" s="1"/>
  <c r="AL32" i="21"/>
  <c r="AL96" i="21"/>
  <c r="AL165" i="21"/>
  <c r="S156" i="20"/>
  <c r="S196" i="20"/>
  <c r="F212" i="20" s="1"/>
  <c r="J38" i="20"/>
  <c r="J74" i="20"/>
  <c r="J43" i="20"/>
  <c r="J176" i="20"/>
  <c r="J202" i="21" l="1"/>
  <c r="E213" i="21" s="1"/>
  <c r="I213" i="21" s="1"/>
  <c r="O202" i="21"/>
  <c r="F214" i="21" s="1"/>
  <c r="K202" i="21"/>
  <c r="E214" i="21" s="1"/>
  <c r="L206" i="21"/>
  <c r="D215" i="21"/>
  <c r="K201" i="21"/>
  <c r="O201" i="21" s="1"/>
  <c r="S201" i="21" s="1"/>
  <c r="AL201" i="21" s="1"/>
  <c r="AL200" i="21"/>
  <c r="I209" i="21"/>
  <c r="J209" i="21" s="1"/>
  <c r="H220" i="21"/>
  <c r="I220" i="21" s="1"/>
  <c r="J220" i="21" s="1"/>
  <c r="K220" i="21" s="1"/>
  <c r="F210" i="21"/>
  <c r="G210" i="21" s="1"/>
  <c r="H210" i="21" s="1"/>
  <c r="O162" i="21"/>
  <c r="AL162" i="21" s="1"/>
  <c r="F163" i="21"/>
  <c r="I59" i="20"/>
  <c r="J160" i="20"/>
  <c r="I160" i="20"/>
  <c r="J159" i="20"/>
  <c r="I214" i="21" l="1"/>
  <c r="E215" i="21"/>
  <c r="F215" i="21" s="1"/>
  <c r="G215" i="21" s="1"/>
  <c r="H215" i="21" s="1"/>
  <c r="K163" i="21"/>
  <c r="O163" i="21" s="1"/>
  <c r="S163" i="21" s="1"/>
  <c r="Y163" i="21" s="1"/>
  <c r="AL202" i="21"/>
  <c r="AI67" i="20"/>
  <c r="AI71" i="20"/>
  <c r="AI72" i="20"/>
  <c r="AI73" i="20"/>
  <c r="AI119" i="20"/>
  <c r="AI120" i="20"/>
  <c r="AI121" i="20"/>
  <c r="AI122" i="20"/>
  <c r="AI123" i="20"/>
  <c r="AI124" i="20"/>
  <c r="AI125" i="20"/>
  <c r="AI126" i="20"/>
  <c r="AI139" i="20"/>
  <c r="AI140" i="20"/>
  <c r="AI141" i="20"/>
  <c r="AI142" i="20"/>
  <c r="AI143" i="20"/>
  <c r="AI144" i="20"/>
  <c r="I33" i="20"/>
  <c r="I31" i="20"/>
  <c r="AL163" i="21" l="1"/>
  <c r="F113" i="20"/>
  <c r="H127" i="20" l="1"/>
  <c r="C74" i="20"/>
  <c r="D74" i="20"/>
  <c r="E74" i="20"/>
  <c r="F74" i="20"/>
  <c r="G74" i="20"/>
  <c r="H74" i="20"/>
  <c r="K74" i="20"/>
  <c r="L74" i="20"/>
  <c r="M74" i="20"/>
  <c r="N74" i="20"/>
  <c r="O74" i="20"/>
  <c r="P74" i="20"/>
  <c r="Q74" i="20"/>
  <c r="R74" i="20"/>
  <c r="T74" i="20"/>
  <c r="U74" i="20"/>
  <c r="V74" i="20"/>
  <c r="W74" i="20"/>
  <c r="X74" i="20"/>
  <c r="Y74" i="20"/>
  <c r="Z74" i="20"/>
  <c r="AA74" i="20"/>
  <c r="AB74" i="20"/>
  <c r="AC74" i="20"/>
  <c r="AD74" i="20"/>
  <c r="AE74" i="20"/>
  <c r="AF74" i="20"/>
  <c r="AG74" i="20"/>
  <c r="AH74" i="20"/>
  <c r="B74" i="20"/>
  <c r="M194" i="20" l="1"/>
  <c r="C194" i="20"/>
  <c r="D194" i="20"/>
  <c r="E194" i="20"/>
  <c r="F194" i="20"/>
  <c r="G194" i="20"/>
  <c r="H194" i="20"/>
  <c r="K194" i="20"/>
  <c r="L194" i="20"/>
  <c r="N194" i="20"/>
  <c r="O194" i="20"/>
  <c r="P194" i="20"/>
  <c r="Q194" i="20"/>
  <c r="R194" i="20"/>
  <c r="T194" i="20"/>
  <c r="U194" i="20"/>
  <c r="V194" i="20"/>
  <c r="W194" i="20"/>
  <c r="X194" i="20"/>
  <c r="Y194" i="20"/>
  <c r="Z194" i="20"/>
  <c r="AA194" i="20"/>
  <c r="AB194" i="20"/>
  <c r="AC194" i="20"/>
  <c r="AD194" i="20"/>
  <c r="AE194" i="20"/>
  <c r="AF194" i="20"/>
  <c r="AG194" i="20"/>
  <c r="AH194" i="20"/>
  <c r="B194" i="20"/>
  <c r="Q153" i="20" l="1"/>
  <c r="J212" i="20"/>
  <c r="B212" i="20"/>
  <c r="C214" i="20" s="1"/>
  <c r="D214" i="20" s="1"/>
  <c r="E214" i="20" s="1"/>
  <c r="F214" i="20" s="1"/>
  <c r="B207" i="20"/>
  <c r="AI197" i="20"/>
  <c r="AI191" i="20"/>
  <c r="AI190" i="20"/>
  <c r="AI189" i="20"/>
  <c r="AI188" i="20"/>
  <c r="AI187" i="20"/>
  <c r="AI186" i="20"/>
  <c r="AI185" i="20"/>
  <c r="AI184" i="20"/>
  <c r="J183" i="20"/>
  <c r="I183" i="20"/>
  <c r="AI182" i="20"/>
  <c r="AI181" i="20"/>
  <c r="AI180" i="20"/>
  <c r="AI179" i="20"/>
  <c r="AI178" i="20"/>
  <c r="AI177" i="20"/>
  <c r="AI176" i="20"/>
  <c r="J175" i="20"/>
  <c r="J194" i="20" s="1"/>
  <c r="AI174" i="20"/>
  <c r="AI173" i="20"/>
  <c r="AI172" i="20"/>
  <c r="AI171" i="20"/>
  <c r="AI170" i="20"/>
  <c r="AI169" i="20"/>
  <c r="AI168" i="20"/>
  <c r="AI167" i="20"/>
  <c r="AI166" i="20"/>
  <c r="AI165" i="20"/>
  <c r="AI164" i="20"/>
  <c r="I163" i="20"/>
  <c r="I194" i="20" s="1"/>
  <c r="AI162" i="20"/>
  <c r="AI161" i="20"/>
  <c r="AI160" i="20"/>
  <c r="AI159" i="20"/>
  <c r="AI158" i="20"/>
  <c r="AH155" i="20"/>
  <c r="AG155" i="20"/>
  <c r="AF155" i="20"/>
  <c r="AE155" i="20"/>
  <c r="AD155" i="20"/>
  <c r="AC155" i="20"/>
  <c r="AB155" i="20"/>
  <c r="AA155" i="20"/>
  <c r="Y155" i="20"/>
  <c r="X155" i="20"/>
  <c r="W155" i="20"/>
  <c r="V155" i="20"/>
  <c r="U155" i="20"/>
  <c r="R155" i="20"/>
  <c r="Q155" i="20"/>
  <c r="P155" i="20"/>
  <c r="O155" i="20"/>
  <c r="N155" i="20"/>
  <c r="M155" i="20"/>
  <c r="L155" i="20"/>
  <c r="K155" i="20"/>
  <c r="J155" i="20"/>
  <c r="I155" i="20"/>
  <c r="H155" i="20"/>
  <c r="G155" i="20"/>
  <c r="F155" i="20"/>
  <c r="E155" i="20"/>
  <c r="D155" i="20"/>
  <c r="C155" i="20"/>
  <c r="B155" i="20"/>
  <c r="AI154" i="20"/>
  <c r="AH153" i="20"/>
  <c r="AG153" i="20"/>
  <c r="AF153" i="20"/>
  <c r="AE153" i="20"/>
  <c r="AD153" i="20"/>
  <c r="AC153" i="20"/>
  <c r="AB153" i="20"/>
  <c r="AA153" i="20"/>
  <c r="Y153" i="20"/>
  <c r="X153" i="20"/>
  <c r="W153" i="20"/>
  <c r="V153" i="20"/>
  <c r="U153" i="20"/>
  <c r="P153" i="20"/>
  <c r="O153" i="20"/>
  <c r="M153" i="20"/>
  <c r="L153" i="20"/>
  <c r="K153" i="20"/>
  <c r="J153" i="20"/>
  <c r="I153" i="20"/>
  <c r="H153" i="20"/>
  <c r="G153" i="20"/>
  <c r="F153" i="20"/>
  <c r="E153" i="20"/>
  <c r="D153" i="20"/>
  <c r="C153" i="20"/>
  <c r="B153" i="20"/>
  <c r="AI152" i="20"/>
  <c r="AI131" i="20"/>
  <c r="R151" i="20"/>
  <c r="R153" i="20" s="1"/>
  <c r="N151" i="20"/>
  <c r="N153" i="20" s="1"/>
  <c r="AI150" i="20"/>
  <c r="AI149" i="20"/>
  <c r="AH148" i="20"/>
  <c r="AG148" i="20"/>
  <c r="AF148" i="20"/>
  <c r="AE148" i="20"/>
  <c r="AD148" i="20"/>
  <c r="AC148" i="20"/>
  <c r="AB148" i="20"/>
  <c r="AA148" i="20"/>
  <c r="Y148" i="20"/>
  <c r="X148" i="20"/>
  <c r="W148" i="20"/>
  <c r="V148" i="20"/>
  <c r="U148" i="20"/>
  <c r="R148" i="20"/>
  <c r="Q148" i="20"/>
  <c r="P148" i="20"/>
  <c r="N148" i="20"/>
  <c r="M148" i="20"/>
  <c r="L148" i="20"/>
  <c r="K148" i="20"/>
  <c r="J148" i="20"/>
  <c r="I148" i="20"/>
  <c r="H148" i="20"/>
  <c r="G148" i="20"/>
  <c r="F148" i="20"/>
  <c r="E148" i="20"/>
  <c r="D148" i="20"/>
  <c r="C148" i="20"/>
  <c r="B148" i="20"/>
  <c r="AI147" i="20"/>
  <c r="AI146" i="20"/>
  <c r="AI138" i="20"/>
  <c r="AI137" i="20"/>
  <c r="AI136" i="20"/>
  <c r="AI135" i="20"/>
  <c r="AI130" i="20"/>
  <c r="AI129" i="20"/>
  <c r="AI128" i="20"/>
  <c r="AI134" i="20"/>
  <c r="AI133" i="20"/>
  <c r="AI132" i="20"/>
  <c r="AH127" i="20"/>
  <c r="AG127" i="20"/>
  <c r="AF127" i="20"/>
  <c r="AE127" i="20"/>
  <c r="AD127" i="20"/>
  <c r="AC127" i="20"/>
  <c r="AB127" i="20"/>
  <c r="AA127" i="20"/>
  <c r="Y127" i="20"/>
  <c r="X127" i="20"/>
  <c r="W127" i="20"/>
  <c r="V127" i="20"/>
  <c r="U127" i="20"/>
  <c r="R127" i="20"/>
  <c r="Q127" i="20"/>
  <c r="P127" i="20"/>
  <c r="N127" i="20"/>
  <c r="M127" i="20"/>
  <c r="L127" i="20"/>
  <c r="K127" i="20"/>
  <c r="J127" i="20"/>
  <c r="G127" i="20"/>
  <c r="F127" i="20"/>
  <c r="E127" i="20"/>
  <c r="D127" i="20"/>
  <c r="C127" i="20"/>
  <c r="B127" i="20"/>
  <c r="AI118" i="20"/>
  <c r="AI117" i="20"/>
  <c r="AI116" i="20"/>
  <c r="AI115" i="20"/>
  <c r="AI114" i="20"/>
  <c r="AI113" i="20"/>
  <c r="AI112" i="20"/>
  <c r="AI111" i="20"/>
  <c r="AI110" i="20"/>
  <c r="AI109" i="20"/>
  <c r="AI108" i="20"/>
  <c r="AI107" i="20"/>
  <c r="AI106" i="20"/>
  <c r="AI105" i="20"/>
  <c r="AI104" i="20"/>
  <c r="AI103" i="20"/>
  <c r="AI101" i="20"/>
  <c r="AI100" i="20"/>
  <c r="AI99" i="20"/>
  <c r="AI98" i="20"/>
  <c r="AI97" i="20"/>
  <c r="AI96" i="20"/>
  <c r="AI95" i="20"/>
  <c r="AI94" i="20"/>
  <c r="AI93" i="20"/>
  <c r="AI91" i="20"/>
  <c r="AI92" i="20"/>
  <c r="AI90" i="20"/>
  <c r="AI89" i="20"/>
  <c r="AI88" i="20"/>
  <c r="AI87" i="20"/>
  <c r="I86" i="20"/>
  <c r="I127" i="20" s="1"/>
  <c r="AI85" i="20"/>
  <c r="AI84" i="20"/>
  <c r="AI83" i="20"/>
  <c r="AI82" i="20"/>
  <c r="AI81" i="20"/>
  <c r="AI80" i="20"/>
  <c r="AI79" i="20"/>
  <c r="AI78" i="20"/>
  <c r="AI77" i="20"/>
  <c r="AI76" i="20"/>
  <c r="AI75" i="20"/>
  <c r="AI70" i="20"/>
  <c r="AI69" i="20"/>
  <c r="AI68" i="20"/>
  <c r="AI66" i="20"/>
  <c r="AI65" i="20"/>
  <c r="AI64" i="20"/>
  <c r="AI63" i="20"/>
  <c r="AI62" i="20"/>
  <c r="AI61" i="20"/>
  <c r="AI59" i="20"/>
  <c r="I58" i="20"/>
  <c r="AI58" i="20" s="1"/>
  <c r="I57" i="20"/>
  <c r="AH56" i="20"/>
  <c r="AG56" i="20"/>
  <c r="AF56" i="20"/>
  <c r="AE56" i="20"/>
  <c r="AD56" i="20"/>
  <c r="AC56" i="20"/>
  <c r="AB56" i="20"/>
  <c r="AA56" i="20"/>
  <c r="Z56" i="20"/>
  <c r="Y56" i="20"/>
  <c r="X56" i="20"/>
  <c r="W56" i="20"/>
  <c r="V56" i="20"/>
  <c r="U56" i="20"/>
  <c r="T56" i="20"/>
  <c r="R56" i="20"/>
  <c r="Q56" i="20"/>
  <c r="P56" i="20"/>
  <c r="O56" i="20"/>
  <c r="N56" i="20"/>
  <c r="M56" i="20"/>
  <c r="L56" i="20"/>
  <c r="K56" i="20"/>
  <c r="I56" i="20"/>
  <c r="H56" i="20"/>
  <c r="G56" i="20"/>
  <c r="F56" i="20"/>
  <c r="E56" i="20"/>
  <c r="D56" i="20"/>
  <c r="C56" i="20"/>
  <c r="B56" i="20"/>
  <c r="AI55" i="20"/>
  <c r="AI54" i="20"/>
  <c r="AI53" i="20"/>
  <c r="AI52" i="20"/>
  <c r="AI51" i="20"/>
  <c r="AI48" i="20"/>
  <c r="AI47" i="20"/>
  <c r="AI46" i="20"/>
  <c r="AI45" i="20"/>
  <c r="AI44" i="20"/>
  <c r="AI43" i="20"/>
  <c r="AI42" i="20"/>
  <c r="AI41" i="20"/>
  <c r="AI40" i="20"/>
  <c r="AI39" i="20"/>
  <c r="AI38" i="20"/>
  <c r="AH37" i="20"/>
  <c r="AG37" i="20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I36" i="20"/>
  <c r="AI35" i="20"/>
  <c r="AI33" i="20"/>
  <c r="AI32" i="20"/>
  <c r="AI31" i="20"/>
  <c r="AI30" i="20"/>
  <c r="AI29" i="20"/>
  <c r="AI28" i="20"/>
  <c r="AI27" i="20"/>
  <c r="AI26" i="20"/>
  <c r="AI25" i="20"/>
  <c r="AI24" i="20"/>
  <c r="AI23" i="20"/>
  <c r="AI22" i="20"/>
  <c r="AI21" i="20"/>
  <c r="AI20" i="20"/>
  <c r="AI19" i="20"/>
  <c r="AI18" i="20"/>
  <c r="AI17" i="20"/>
  <c r="AI16" i="20"/>
  <c r="AI15" i="20"/>
  <c r="AI14" i="20"/>
  <c r="AI13" i="20"/>
  <c r="AI12" i="20"/>
  <c r="AI11" i="20"/>
  <c r="AI10" i="20"/>
  <c r="AI9" i="20"/>
  <c r="AI8" i="20"/>
  <c r="AI7" i="20"/>
  <c r="AI6" i="20"/>
  <c r="AI5" i="20"/>
  <c r="AI4" i="20"/>
  <c r="AI3" i="20"/>
  <c r="AI183" i="20" l="1"/>
  <c r="Z156" i="20"/>
  <c r="AI57" i="20"/>
  <c r="I74" i="20"/>
  <c r="I196" i="20" s="1"/>
  <c r="M196" i="20"/>
  <c r="E207" i="20" s="1"/>
  <c r="AI163" i="20"/>
  <c r="AI175" i="20"/>
  <c r="AI86" i="20"/>
  <c r="U156" i="20"/>
  <c r="AB156" i="20"/>
  <c r="AH156" i="20"/>
  <c r="F156" i="20"/>
  <c r="AA156" i="20"/>
  <c r="AG156" i="20"/>
  <c r="N196" i="20"/>
  <c r="E208" i="20" s="1"/>
  <c r="V196" i="20"/>
  <c r="G207" i="20" s="1"/>
  <c r="AC196" i="20"/>
  <c r="AC156" i="20"/>
  <c r="W156" i="20"/>
  <c r="B156" i="20"/>
  <c r="N156" i="20"/>
  <c r="X196" i="20"/>
  <c r="G208" i="20" s="1"/>
  <c r="AE196" i="20"/>
  <c r="I213" i="20" s="1"/>
  <c r="G156" i="20"/>
  <c r="AD196" i="20"/>
  <c r="I212" i="20" s="1"/>
  <c r="AI148" i="20"/>
  <c r="AI151" i="20"/>
  <c r="O196" i="20"/>
  <c r="F200" i="20" s="1"/>
  <c r="AD156" i="20"/>
  <c r="K196" i="20"/>
  <c r="E200" i="20" s="1"/>
  <c r="R196" i="20"/>
  <c r="F208" i="20" s="1"/>
  <c r="Y196" i="20"/>
  <c r="G213" i="20" s="1"/>
  <c r="AF196" i="20"/>
  <c r="W196" i="20"/>
  <c r="G212" i="20" s="1"/>
  <c r="AI153" i="20"/>
  <c r="P156" i="20"/>
  <c r="X156" i="20"/>
  <c r="AE156" i="20"/>
  <c r="D196" i="20"/>
  <c r="C207" i="20" s="1"/>
  <c r="AA196" i="20"/>
  <c r="H212" i="20" s="1"/>
  <c r="AG196" i="20"/>
  <c r="V156" i="20"/>
  <c r="P196" i="20"/>
  <c r="F203" i="20" s="1"/>
  <c r="D156" i="20"/>
  <c r="T156" i="20"/>
  <c r="AI145" i="20"/>
  <c r="E156" i="20"/>
  <c r="K156" i="20"/>
  <c r="Y156" i="20"/>
  <c r="AF156" i="20"/>
  <c r="E196" i="20"/>
  <c r="C208" i="20" s="1"/>
  <c r="U196" i="20"/>
  <c r="G203" i="20" s="1"/>
  <c r="AB196" i="20"/>
  <c r="H213" i="20" s="1"/>
  <c r="AH196" i="20"/>
  <c r="J213" i="20" s="1"/>
  <c r="R156" i="20"/>
  <c r="Q196" i="20"/>
  <c r="F207" i="20" s="1"/>
  <c r="Q156" i="20"/>
  <c r="AI155" i="20"/>
  <c r="AI127" i="20"/>
  <c r="M156" i="20"/>
  <c r="AI37" i="20"/>
  <c r="L156" i="20"/>
  <c r="H156" i="20"/>
  <c r="H196" i="20"/>
  <c r="D203" i="20" s="1"/>
  <c r="J56" i="20"/>
  <c r="J156" i="20" s="1"/>
  <c r="E195" i="20"/>
  <c r="C156" i="20"/>
  <c r="O156" i="20"/>
  <c r="F196" i="20"/>
  <c r="D200" i="20" s="1"/>
  <c r="L196" i="20"/>
  <c r="E203" i="20" s="1"/>
  <c r="G196" i="20"/>
  <c r="T196" i="20"/>
  <c r="G200" i="20" s="1"/>
  <c r="Z196" i="20"/>
  <c r="H200" i="20" s="1"/>
  <c r="D207" i="20" l="1"/>
  <c r="AI74" i="20"/>
  <c r="H207" i="20"/>
  <c r="I156" i="20"/>
  <c r="AI156" i="20" s="1"/>
  <c r="G214" i="20"/>
  <c r="H214" i="20" s="1"/>
  <c r="I214" i="20" s="1"/>
  <c r="J214" i="20" s="1"/>
  <c r="C209" i="20"/>
  <c r="J195" i="20"/>
  <c r="N195" i="20" s="1"/>
  <c r="R195" i="20" s="1"/>
  <c r="E157" i="20"/>
  <c r="AI194" i="20"/>
  <c r="E204" i="20"/>
  <c r="F204" i="20" s="1"/>
  <c r="G204" i="20" s="1"/>
  <c r="H203" i="20"/>
  <c r="I203" i="20" s="1"/>
  <c r="I200" i="20"/>
  <c r="AI56" i="20"/>
  <c r="J196" i="20"/>
  <c r="D208" i="20" s="1"/>
  <c r="AH183" i="19"/>
  <c r="AH184" i="19"/>
  <c r="J199" i="19"/>
  <c r="B199" i="19"/>
  <c r="C201" i="19" s="1"/>
  <c r="D201" i="19" s="1"/>
  <c r="E201" i="19" s="1"/>
  <c r="F201" i="19" s="1"/>
  <c r="B194" i="19"/>
  <c r="AH182" i="19"/>
  <c r="AG179" i="19"/>
  <c r="AF179" i="19"/>
  <c r="AE179" i="19"/>
  <c r="AD179" i="19"/>
  <c r="AC179" i="19"/>
  <c r="AB179" i="19"/>
  <c r="AA179" i="19"/>
  <c r="Z179" i="19"/>
  <c r="X179" i="19"/>
  <c r="W179" i="19"/>
  <c r="V179" i="19"/>
  <c r="U179" i="19"/>
  <c r="T179" i="19"/>
  <c r="S179" i="19"/>
  <c r="R179" i="19"/>
  <c r="Q179" i="19"/>
  <c r="P179" i="19"/>
  <c r="N179" i="19"/>
  <c r="M179" i="19"/>
  <c r="L179" i="19"/>
  <c r="K179" i="19"/>
  <c r="H179" i="19"/>
  <c r="G179" i="19"/>
  <c r="F179" i="19"/>
  <c r="E179" i="19"/>
  <c r="D179" i="19"/>
  <c r="C179" i="19"/>
  <c r="B179" i="19"/>
  <c r="AH178" i="19"/>
  <c r="AH177" i="19"/>
  <c r="AH176" i="19"/>
  <c r="AH175" i="19"/>
  <c r="AH174" i="19"/>
  <c r="AH173" i="19"/>
  <c r="AH172" i="19"/>
  <c r="AH171" i="19"/>
  <c r="J170" i="19"/>
  <c r="I170" i="19"/>
  <c r="AH169" i="19"/>
  <c r="AH168" i="19"/>
  <c r="AH167" i="19"/>
  <c r="AH166" i="19"/>
  <c r="AH165" i="19"/>
  <c r="AH164" i="19"/>
  <c r="AH163" i="19"/>
  <c r="J162" i="19"/>
  <c r="AH162" i="19" s="1"/>
  <c r="AH161" i="19"/>
  <c r="AH160" i="19"/>
  <c r="AH159" i="19"/>
  <c r="AH158" i="19"/>
  <c r="AH157" i="19"/>
  <c r="AH156" i="19"/>
  <c r="AH155" i="19"/>
  <c r="AH154" i="19"/>
  <c r="AH153" i="19"/>
  <c r="AH152" i="19"/>
  <c r="AH151" i="19"/>
  <c r="I150" i="19"/>
  <c r="AH150" i="19" s="1"/>
  <c r="AH149" i="19"/>
  <c r="AH148" i="19"/>
  <c r="AH147" i="19"/>
  <c r="AH146" i="19"/>
  <c r="AH145" i="19"/>
  <c r="AG142" i="19"/>
  <c r="AF142" i="19"/>
  <c r="AE142" i="19"/>
  <c r="AD142" i="19"/>
  <c r="AC142" i="19"/>
  <c r="AB142" i="19"/>
  <c r="AA142" i="19"/>
  <c r="Z142" i="19"/>
  <c r="X142" i="19"/>
  <c r="W142" i="19"/>
  <c r="V142" i="19"/>
  <c r="U142" i="19"/>
  <c r="T142" i="19"/>
  <c r="R142" i="19"/>
  <c r="Q142" i="19"/>
  <c r="P142" i="19"/>
  <c r="O142" i="19"/>
  <c r="N142" i="19"/>
  <c r="M142" i="19"/>
  <c r="L142" i="19"/>
  <c r="K142" i="19"/>
  <c r="J142" i="19"/>
  <c r="I142" i="19"/>
  <c r="H142" i="19"/>
  <c r="G142" i="19"/>
  <c r="F142" i="19"/>
  <c r="E142" i="19"/>
  <c r="D142" i="19"/>
  <c r="C142" i="19"/>
  <c r="B142" i="19"/>
  <c r="AH141" i="19"/>
  <c r="AG140" i="19"/>
  <c r="AF140" i="19"/>
  <c r="AE140" i="19"/>
  <c r="AD140" i="19"/>
  <c r="AC140" i="19"/>
  <c r="AB140" i="19"/>
  <c r="AA140" i="19"/>
  <c r="Z140" i="19"/>
  <c r="X140" i="19"/>
  <c r="W140" i="19"/>
  <c r="V140" i="19"/>
  <c r="U140" i="19"/>
  <c r="T140" i="19"/>
  <c r="Q140" i="19"/>
  <c r="P140" i="19"/>
  <c r="O140" i="19"/>
  <c r="M140" i="19"/>
  <c r="L140" i="19"/>
  <c r="K140" i="19"/>
  <c r="J140" i="19"/>
  <c r="I140" i="19"/>
  <c r="H140" i="19"/>
  <c r="G140" i="19"/>
  <c r="F140" i="19"/>
  <c r="E140" i="19"/>
  <c r="D140" i="19"/>
  <c r="C140" i="19"/>
  <c r="B140" i="19"/>
  <c r="AH139" i="19"/>
  <c r="AH138" i="19"/>
  <c r="R137" i="19"/>
  <c r="R140" i="19" s="1"/>
  <c r="N137" i="19"/>
  <c r="N140" i="19" s="1"/>
  <c r="AH136" i="19"/>
  <c r="AH135" i="19"/>
  <c r="AG134" i="19"/>
  <c r="AF134" i="19"/>
  <c r="AE134" i="19"/>
  <c r="AD134" i="19"/>
  <c r="AC134" i="19"/>
  <c r="AB134" i="19"/>
  <c r="AA134" i="19"/>
  <c r="Z134" i="19"/>
  <c r="X134" i="19"/>
  <c r="W134" i="19"/>
  <c r="V134" i="19"/>
  <c r="U134" i="19"/>
  <c r="T134" i="19"/>
  <c r="R134" i="19"/>
  <c r="Q134" i="19"/>
  <c r="P134" i="19"/>
  <c r="N134" i="19"/>
  <c r="M134" i="19"/>
  <c r="L134" i="19"/>
  <c r="K134" i="19"/>
  <c r="J134" i="19"/>
  <c r="H134" i="19"/>
  <c r="G134" i="19"/>
  <c r="F134" i="19"/>
  <c r="E134" i="19"/>
  <c r="D134" i="19"/>
  <c r="C134" i="19"/>
  <c r="B134" i="19"/>
  <c r="I133" i="19"/>
  <c r="I134" i="19" s="1"/>
  <c r="AH132" i="19"/>
  <c r="AG131" i="19"/>
  <c r="AF131" i="19"/>
  <c r="AE131" i="19"/>
  <c r="AD131" i="19"/>
  <c r="AC131" i="19"/>
  <c r="AB131" i="19"/>
  <c r="AA131" i="19"/>
  <c r="Z131" i="19"/>
  <c r="X131" i="19"/>
  <c r="W131" i="19"/>
  <c r="V131" i="19"/>
  <c r="U131" i="19"/>
  <c r="T131" i="19"/>
  <c r="R131" i="19"/>
  <c r="Q131" i="19"/>
  <c r="P131" i="19"/>
  <c r="N131" i="19"/>
  <c r="M131" i="19"/>
  <c r="K131" i="19"/>
  <c r="J131" i="19"/>
  <c r="I131" i="19"/>
  <c r="G131" i="19"/>
  <c r="F131" i="19"/>
  <c r="E131" i="19"/>
  <c r="D131" i="19"/>
  <c r="C131" i="19"/>
  <c r="B131" i="19"/>
  <c r="AH130" i="19"/>
  <c r="L130" i="19"/>
  <c r="L131" i="19" s="1"/>
  <c r="H130" i="19"/>
  <c r="H131" i="19" s="1"/>
  <c r="AH129" i="19"/>
  <c r="AH127" i="19"/>
  <c r="AH126" i="19"/>
  <c r="AH125" i="19"/>
  <c r="AH124" i="19"/>
  <c r="AH123" i="19"/>
  <c r="AH122" i="19"/>
  <c r="AH121" i="19"/>
  <c r="AH120" i="19"/>
  <c r="AG119" i="19"/>
  <c r="AF119" i="19"/>
  <c r="AE119" i="19"/>
  <c r="AD119" i="19"/>
  <c r="AC119" i="19"/>
  <c r="AB119" i="19"/>
  <c r="AA119" i="19"/>
  <c r="Z119" i="19"/>
  <c r="X119" i="19"/>
  <c r="W119" i="19"/>
  <c r="V119" i="19"/>
  <c r="U119" i="19"/>
  <c r="T119" i="19"/>
  <c r="R119" i="19"/>
  <c r="Q119" i="19"/>
  <c r="P119" i="19"/>
  <c r="O119" i="19"/>
  <c r="N119" i="19"/>
  <c r="M119" i="19"/>
  <c r="M181" i="19" s="1"/>
  <c r="E194" i="19" s="1"/>
  <c r="L119" i="19"/>
  <c r="K119" i="19"/>
  <c r="J119" i="19"/>
  <c r="H119" i="19"/>
  <c r="G119" i="19"/>
  <c r="F119" i="19"/>
  <c r="E119" i="19"/>
  <c r="D119" i="19"/>
  <c r="C119" i="19"/>
  <c r="B119" i="19"/>
  <c r="AH118" i="19"/>
  <c r="AH112" i="19"/>
  <c r="AH111" i="19"/>
  <c r="AH110" i="19"/>
  <c r="AH109" i="19"/>
  <c r="AH108" i="19"/>
  <c r="AH106" i="19"/>
  <c r="AH105" i="19"/>
  <c r="AH104" i="19"/>
  <c r="AH103" i="19"/>
  <c r="AH102" i="19"/>
  <c r="AH101" i="19"/>
  <c r="AH100" i="19"/>
  <c r="AH99" i="19"/>
  <c r="AH98" i="19"/>
  <c r="AH97" i="19"/>
  <c r="AH96" i="19"/>
  <c r="AH95" i="19"/>
  <c r="AH94" i="19"/>
  <c r="AH93" i="19"/>
  <c r="AH92" i="19"/>
  <c r="AH91" i="19"/>
  <c r="AH90" i="19"/>
  <c r="AH89" i="19"/>
  <c r="AH88" i="19"/>
  <c r="AH87" i="19"/>
  <c r="AH86" i="19"/>
  <c r="AH85" i="19"/>
  <c r="AH84" i="19"/>
  <c r="AH83" i="19"/>
  <c r="AH82" i="19"/>
  <c r="AH81" i="19"/>
  <c r="I80" i="19"/>
  <c r="AH80" i="19" s="1"/>
  <c r="AH79" i="19"/>
  <c r="AH78" i="19"/>
  <c r="AH77" i="19"/>
  <c r="AH76" i="19"/>
  <c r="AH75" i="19"/>
  <c r="AH74" i="19"/>
  <c r="AH73" i="19"/>
  <c r="AH72" i="19"/>
  <c r="AH71" i="19"/>
  <c r="AH70" i="19"/>
  <c r="AH69" i="19"/>
  <c r="AG68" i="19"/>
  <c r="AF68" i="19"/>
  <c r="AE68" i="19"/>
  <c r="AD68" i="19"/>
  <c r="AC68" i="19"/>
  <c r="AB68" i="19"/>
  <c r="AA68" i="19"/>
  <c r="Z68" i="19"/>
  <c r="X68" i="19"/>
  <c r="W68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H68" i="19"/>
  <c r="G68" i="19"/>
  <c r="F68" i="19"/>
  <c r="E68" i="19"/>
  <c r="D68" i="19"/>
  <c r="C68" i="19"/>
  <c r="B68" i="19"/>
  <c r="AH67" i="19"/>
  <c r="AH66" i="19"/>
  <c r="AH65" i="19"/>
  <c r="AH64" i="19"/>
  <c r="AH63" i="19"/>
  <c r="AH62" i="19"/>
  <c r="AH61" i="19"/>
  <c r="AH60" i="19"/>
  <c r="AH59" i="19"/>
  <c r="AH58" i="19"/>
  <c r="I57" i="19"/>
  <c r="I68" i="19" s="1"/>
  <c r="AH56" i="19"/>
  <c r="I56" i="19"/>
  <c r="I55" i="19"/>
  <c r="AH55" i="19" s="1"/>
  <c r="AG54" i="19"/>
  <c r="AF54" i="19"/>
  <c r="AE54" i="19"/>
  <c r="AD54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I54" i="19"/>
  <c r="H54" i="19"/>
  <c r="G54" i="19"/>
  <c r="F54" i="19"/>
  <c r="E54" i="19"/>
  <c r="D54" i="19"/>
  <c r="C54" i="19"/>
  <c r="B54" i="19"/>
  <c r="AH53" i="19"/>
  <c r="AH52" i="19"/>
  <c r="AH51" i="19"/>
  <c r="AH50" i="19"/>
  <c r="AH49" i="19"/>
  <c r="AH48" i="19"/>
  <c r="AH47" i="19"/>
  <c r="AH46" i="19"/>
  <c r="AH45" i="19"/>
  <c r="AH44" i="19"/>
  <c r="J43" i="19"/>
  <c r="J54" i="19" s="1"/>
  <c r="AH42" i="19"/>
  <c r="AH41" i="19"/>
  <c r="AH40" i="19"/>
  <c r="AH39" i="19"/>
  <c r="AH38" i="19"/>
  <c r="AG37" i="19"/>
  <c r="AF37" i="19"/>
  <c r="AE37" i="19"/>
  <c r="AD37" i="19"/>
  <c r="AC37" i="19"/>
  <c r="AB37" i="19"/>
  <c r="AA37" i="19"/>
  <c r="Z37" i="19"/>
  <c r="Y37" i="19"/>
  <c r="X37" i="19"/>
  <c r="W37" i="19"/>
  <c r="V37" i="19"/>
  <c r="U37" i="19"/>
  <c r="T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H36" i="19"/>
  <c r="AH35" i="19"/>
  <c r="AH33" i="19"/>
  <c r="AH32" i="19"/>
  <c r="AH31" i="19"/>
  <c r="AH30" i="19"/>
  <c r="AH29" i="19"/>
  <c r="AH28" i="19"/>
  <c r="AH27" i="19"/>
  <c r="AH26" i="19"/>
  <c r="AH25" i="19"/>
  <c r="AH24" i="19"/>
  <c r="AH23" i="19"/>
  <c r="AH22" i="19"/>
  <c r="AH21" i="19"/>
  <c r="AH20" i="19"/>
  <c r="AH19" i="19"/>
  <c r="AH18" i="19"/>
  <c r="AH17" i="19"/>
  <c r="AH16" i="19"/>
  <c r="AH15" i="19"/>
  <c r="AH14" i="19"/>
  <c r="AH13" i="19"/>
  <c r="AH12" i="19"/>
  <c r="AH11" i="19"/>
  <c r="AH10" i="19"/>
  <c r="AH9" i="19"/>
  <c r="AH8" i="19"/>
  <c r="AH7" i="19"/>
  <c r="AH6" i="19"/>
  <c r="AH5" i="19"/>
  <c r="AH4" i="19"/>
  <c r="AH3" i="19"/>
  <c r="Y181" i="19" l="1"/>
  <c r="H187" i="19" s="1"/>
  <c r="AI196" i="20"/>
  <c r="D209" i="20"/>
  <c r="AI195" i="20"/>
  <c r="J157" i="20"/>
  <c r="N157" i="20" s="1"/>
  <c r="R157" i="20" s="1"/>
  <c r="X157" i="20" s="1"/>
  <c r="AH140" i="19"/>
  <c r="D143" i="19"/>
  <c r="J143" i="19"/>
  <c r="P143" i="19"/>
  <c r="W143" i="19"/>
  <c r="J179" i="19"/>
  <c r="J181" i="19" s="1"/>
  <c r="D195" i="19" s="1"/>
  <c r="AA181" i="19"/>
  <c r="H200" i="19" s="1"/>
  <c r="AG181" i="19"/>
  <c r="J200" i="19" s="1"/>
  <c r="AD143" i="19"/>
  <c r="K143" i="19"/>
  <c r="AH131" i="19"/>
  <c r="W181" i="19"/>
  <c r="G195" i="19" s="1"/>
  <c r="C143" i="19"/>
  <c r="O143" i="19"/>
  <c r="V143" i="19"/>
  <c r="AC143" i="19"/>
  <c r="AH170" i="19"/>
  <c r="Z181" i="19"/>
  <c r="H199" i="19" s="1"/>
  <c r="AF181" i="19"/>
  <c r="AE143" i="19"/>
  <c r="Q181" i="19"/>
  <c r="F194" i="19" s="1"/>
  <c r="E143" i="19"/>
  <c r="X143" i="19"/>
  <c r="AB181" i="19"/>
  <c r="AA143" i="19"/>
  <c r="AG143" i="19"/>
  <c r="F181" i="19"/>
  <c r="D187" i="19" s="1"/>
  <c r="P181" i="19"/>
  <c r="F190" i="19" s="1"/>
  <c r="V181" i="19"/>
  <c r="G199" i="19" s="1"/>
  <c r="AC181" i="19"/>
  <c r="I199" i="19" s="1"/>
  <c r="I119" i="19"/>
  <c r="I143" i="19" s="1"/>
  <c r="G181" i="19"/>
  <c r="T181" i="19"/>
  <c r="G190" i="19" s="1"/>
  <c r="H181" i="19"/>
  <c r="D190" i="19" s="1"/>
  <c r="AD181" i="19"/>
  <c r="I200" i="19" s="1"/>
  <c r="Z143" i="19"/>
  <c r="AF143" i="19"/>
  <c r="Q143" i="19"/>
  <c r="U181" i="19"/>
  <c r="G194" i="19" s="1"/>
  <c r="AH37" i="19"/>
  <c r="S181" i="19"/>
  <c r="G187" i="19" s="1"/>
  <c r="B143" i="19"/>
  <c r="H143" i="19"/>
  <c r="U143" i="19"/>
  <c r="AB143" i="19"/>
  <c r="E180" i="19"/>
  <c r="X181" i="19"/>
  <c r="G200" i="19" s="1"/>
  <c r="AE181" i="19"/>
  <c r="AH68" i="19"/>
  <c r="AH134" i="19"/>
  <c r="L181" i="19"/>
  <c r="E190" i="19" s="1"/>
  <c r="R143" i="19"/>
  <c r="AH54" i="19"/>
  <c r="N143" i="19"/>
  <c r="R181" i="19"/>
  <c r="F195" i="19" s="1"/>
  <c r="N181" i="19"/>
  <c r="E195" i="19" s="1"/>
  <c r="F143" i="19"/>
  <c r="L143" i="19"/>
  <c r="O181" i="19"/>
  <c r="F187" i="19" s="1"/>
  <c r="AH43" i="19"/>
  <c r="AH142" i="19"/>
  <c r="G143" i="19"/>
  <c r="M143" i="19"/>
  <c r="S143" i="19"/>
  <c r="Y143" i="19"/>
  <c r="D181" i="19"/>
  <c r="AH57" i="19"/>
  <c r="AH137" i="19"/>
  <c r="T143" i="19"/>
  <c r="I179" i="19"/>
  <c r="AH179" i="19" s="1"/>
  <c r="E181" i="19"/>
  <c r="C195" i="19" s="1"/>
  <c r="K181" i="19"/>
  <c r="E187" i="19" s="1"/>
  <c r="AH133" i="19"/>
  <c r="E144" i="19" l="1"/>
  <c r="J144" i="19" s="1"/>
  <c r="N144" i="19" s="1"/>
  <c r="R144" i="19" s="1"/>
  <c r="W144" i="19" s="1"/>
  <c r="I187" i="19"/>
  <c r="E209" i="20"/>
  <c r="F209" i="20" s="1"/>
  <c r="G209" i="20" s="1"/>
  <c r="H208" i="20"/>
  <c r="AI157" i="20"/>
  <c r="AH143" i="19"/>
  <c r="H190" i="19"/>
  <c r="I190" i="19" s="1"/>
  <c r="G201" i="19"/>
  <c r="H201" i="19" s="1"/>
  <c r="I201" i="19" s="1"/>
  <c r="J201" i="19" s="1"/>
  <c r="AH119" i="19"/>
  <c r="H195" i="19"/>
  <c r="I181" i="19"/>
  <c r="D194" i="19" s="1"/>
  <c r="E191" i="19"/>
  <c r="F191" i="19" s="1"/>
  <c r="G191" i="19" s="1"/>
  <c r="C194" i="19"/>
  <c r="J180" i="19"/>
  <c r="AH144" i="19" l="1"/>
  <c r="AH181" i="19"/>
  <c r="N180" i="19"/>
  <c r="R180" i="19" s="1"/>
  <c r="C196" i="19"/>
  <c r="D196" i="19" s="1"/>
  <c r="E196" i="19" s="1"/>
  <c r="F196" i="19" s="1"/>
  <c r="G196" i="19" s="1"/>
  <c r="H194" i="19"/>
  <c r="I195" i="19" s="1"/>
  <c r="AH180" i="19" l="1"/>
  <c r="J162" i="18"/>
  <c r="AH48" i="18" l="1"/>
  <c r="O68" i="18" l="1"/>
  <c r="O119" i="18"/>
  <c r="O142" i="18"/>
  <c r="O140" i="18"/>
  <c r="AH79" i="18" l="1"/>
  <c r="AH96" i="18"/>
  <c r="AH97" i="18"/>
  <c r="J43" i="18"/>
  <c r="AH173" i="18" l="1"/>
  <c r="AH174" i="18"/>
  <c r="AH175" i="18"/>
  <c r="Y54" i="18" l="1"/>
  <c r="Y37" i="18"/>
  <c r="Y181" i="18" s="1"/>
  <c r="H185" i="18" s="1"/>
  <c r="S68" i="18"/>
  <c r="S54" i="18"/>
  <c r="S179" i="18"/>
  <c r="O54" i="18"/>
  <c r="O181" i="18" s="1"/>
  <c r="F185" i="18" s="1"/>
  <c r="O37" i="18"/>
  <c r="R137" i="18"/>
  <c r="N137" i="18"/>
  <c r="Y143" i="18" l="1"/>
  <c r="O143" i="18"/>
  <c r="S181" i="18"/>
  <c r="G185" i="18" s="1"/>
  <c r="S143" i="18"/>
  <c r="J197" i="18" l="1"/>
  <c r="B197" i="18"/>
  <c r="C199" i="18" s="1"/>
  <c r="B192" i="18"/>
  <c r="AH182" i="18"/>
  <c r="AG179" i="18"/>
  <c r="AF179" i="18"/>
  <c r="AE179" i="18"/>
  <c r="AD179" i="18"/>
  <c r="AC179" i="18"/>
  <c r="AB179" i="18"/>
  <c r="AA179" i="18"/>
  <c r="Z179" i="18"/>
  <c r="X179" i="18"/>
  <c r="W179" i="18"/>
  <c r="V179" i="18"/>
  <c r="U179" i="18"/>
  <c r="T179" i="18"/>
  <c r="R179" i="18"/>
  <c r="Q179" i="18"/>
  <c r="P179" i="18"/>
  <c r="N179" i="18"/>
  <c r="M179" i="18"/>
  <c r="L179" i="18"/>
  <c r="K179" i="18"/>
  <c r="H179" i="18"/>
  <c r="G179" i="18"/>
  <c r="F179" i="18"/>
  <c r="E179" i="18"/>
  <c r="D179" i="18"/>
  <c r="C179" i="18"/>
  <c r="B179" i="18"/>
  <c r="AH178" i="18"/>
  <c r="AH177" i="18"/>
  <c r="AH176" i="18"/>
  <c r="AH172" i="18"/>
  <c r="AH171" i="18"/>
  <c r="J170" i="18"/>
  <c r="J179" i="18" s="1"/>
  <c r="I170" i="18"/>
  <c r="AH170" i="18" s="1"/>
  <c r="AH169" i="18"/>
  <c r="AH168" i="18"/>
  <c r="AH167" i="18"/>
  <c r="AH166" i="18"/>
  <c r="AH165" i="18"/>
  <c r="AH164" i="18"/>
  <c r="AH163" i="18"/>
  <c r="AH162" i="18"/>
  <c r="AH161" i="18"/>
  <c r="AH160" i="18"/>
  <c r="AH159" i="18"/>
  <c r="AH158" i="18"/>
  <c r="AH157" i="18"/>
  <c r="AH156" i="18"/>
  <c r="AH155" i="18"/>
  <c r="AH154" i="18"/>
  <c r="AH153" i="18"/>
  <c r="AH152" i="18"/>
  <c r="AH151" i="18"/>
  <c r="I150" i="18"/>
  <c r="AH150" i="18" s="1"/>
  <c r="AH149" i="18"/>
  <c r="AH148" i="18"/>
  <c r="AH147" i="18"/>
  <c r="AH146" i="18"/>
  <c r="AH145" i="18"/>
  <c r="AG142" i="18"/>
  <c r="AF142" i="18"/>
  <c r="AE142" i="18"/>
  <c r="AD142" i="18"/>
  <c r="AC142" i="18"/>
  <c r="AB142" i="18"/>
  <c r="AA142" i="18"/>
  <c r="Z142" i="18"/>
  <c r="X142" i="18"/>
  <c r="W142" i="18"/>
  <c r="V142" i="18"/>
  <c r="U142" i="18"/>
  <c r="T142" i="18"/>
  <c r="R142" i="18"/>
  <c r="Q142" i="18"/>
  <c r="P142" i="18"/>
  <c r="N142" i="18"/>
  <c r="M142" i="18"/>
  <c r="L142" i="18"/>
  <c r="K142" i="18"/>
  <c r="J142" i="18"/>
  <c r="I142" i="18"/>
  <c r="H142" i="18"/>
  <c r="G142" i="18"/>
  <c r="F142" i="18"/>
  <c r="E142" i="18"/>
  <c r="D142" i="18"/>
  <c r="C142" i="18"/>
  <c r="B142" i="18"/>
  <c r="AH141" i="18"/>
  <c r="AG140" i="18"/>
  <c r="AF140" i="18"/>
  <c r="AE140" i="18"/>
  <c r="AD140" i="18"/>
  <c r="AC140" i="18"/>
  <c r="AB140" i="18"/>
  <c r="AA140" i="18"/>
  <c r="Z140" i="18"/>
  <c r="X140" i="18"/>
  <c r="W140" i="18"/>
  <c r="V140" i="18"/>
  <c r="U140" i="18"/>
  <c r="T140" i="18"/>
  <c r="R140" i="18"/>
  <c r="Q140" i="18"/>
  <c r="P140" i="18"/>
  <c r="N140" i="18"/>
  <c r="M140" i="18"/>
  <c r="L140" i="18"/>
  <c r="K140" i="18"/>
  <c r="J140" i="18"/>
  <c r="I140" i="18"/>
  <c r="H140" i="18"/>
  <c r="G140" i="18"/>
  <c r="F140" i="18"/>
  <c r="E140" i="18"/>
  <c r="D140" i="18"/>
  <c r="C140" i="18"/>
  <c r="B140" i="18"/>
  <c r="AH139" i="18"/>
  <c r="AH138" i="18"/>
  <c r="AH137" i="18"/>
  <c r="AH136" i="18"/>
  <c r="AH135" i="18"/>
  <c r="AG134" i="18"/>
  <c r="AF134" i="18"/>
  <c r="AE134" i="18"/>
  <c r="AD134" i="18"/>
  <c r="AC134" i="18"/>
  <c r="AB134" i="18"/>
  <c r="AA134" i="18"/>
  <c r="Z134" i="18"/>
  <c r="X134" i="18"/>
  <c r="W134" i="18"/>
  <c r="V134" i="18"/>
  <c r="U134" i="18"/>
  <c r="T134" i="18"/>
  <c r="R134" i="18"/>
  <c r="Q134" i="18"/>
  <c r="P134" i="18"/>
  <c r="N134" i="18"/>
  <c r="M134" i="18"/>
  <c r="L134" i="18"/>
  <c r="K134" i="18"/>
  <c r="J134" i="18"/>
  <c r="H134" i="18"/>
  <c r="G134" i="18"/>
  <c r="F134" i="18"/>
  <c r="E134" i="18"/>
  <c r="D134" i="18"/>
  <c r="C134" i="18"/>
  <c r="B134" i="18"/>
  <c r="I133" i="18"/>
  <c r="AH133" i="18" s="1"/>
  <c r="AH132" i="18"/>
  <c r="AG131" i="18"/>
  <c r="AF131" i="18"/>
  <c r="AE131" i="18"/>
  <c r="AD131" i="18"/>
  <c r="AC131" i="18"/>
  <c r="AB131" i="18"/>
  <c r="AA131" i="18"/>
  <c r="Z131" i="18"/>
  <c r="X131" i="18"/>
  <c r="W131" i="18"/>
  <c r="V131" i="18"/>
  <c r="U131" i="18"/>
  <c r="T131" i="18"/>
  <c r="R131" i="18"/>
  <c r="Q131" i="18"/>
  <c r="P131" i="18"/>
  <c r="N131" i="18"/>
  <c r="M131" i="18"/>
  <c r="K131" i="18"/>
  <c r="J131" i="18"/>
  <c r="I131" i="18"/>
  <c r="G131" i="18"/>
  <c r="F131" i="18"/>
  <c r="E131" i="18"/>
  <c r="D131" i="18"/>
  <c r="C131" i="18"/>
  <c r="B131" i="18"/>
  <c r="AH130" i="18"/>
  <c r="L130" i="18"/>
  <c r="L131" i="18" s="1"/>
  <c r="H130" i="18"/>
  <c r="H131" i="18" s="1"/>
  <c r="AH129" i="18"/>
  <c r="AH127" i="18"/>
  <c r="AH126" i="18"/>
  <c r="AH125" i="18"/>
  <c r="AH124" i="18"/>
  <c r="AH123" i="18"/>
  <c r="AH122" i="18"/>
  <c r="AH121" i="18"/>
  <c r="AH120" i="18"/>
  <c r="AG119" i="18"/>
  <c r="AF119" i="18"/>
  <c r="AE119" i="18"/>
  <c r="AD119" i="18"/>
  <c r="AC119" i="18"/>
  <c r="AB119" i="18"/>
  <c r="AA119" i="18"/>
  <c r="Z119" i="18"/>
  <c r="X119" i="18"/>
  <c r="W119" i="18"/>
  <c r="V119" i="18"/>
  <c r="U119" i="18"/>
  <c r="T119" i="18"/>
  <c r="R119" i="18"/>
  <c r="Q119" i="18"/>
  <c r="P119" i="18"/>
  <c r="N119" i="18"/>
  <c r="M119" i="18"/>
  <c r="L119" i="18"/>
  <c r="K119" i="18"/>
  <c r="J119" i="18"/>
  <c r="H119" i="18"/>
  <c r="G119" i="18"/>
  <c r="F119" i="18"/>
  <c r="E119" i="18"/>
  <c r="D119" i="18"/>
  <c r="C119" i="18"/>
  <c r="B119" i="18"/>
  <c r="AH118" i="18"/>
  <c r="AH112" i="18"/>
  <c r="AH111" i="18"/>
  <c r="AH110" i="18"/>
  <c r="AH109" i="18"/>
  <c r="AH108" i="18"/>
  <c r="AH106" i="18"/>
  <c r="AH105" i="18"/>
  <c r="AH104" i="18"/>
  <c r="AH103" i="18"/>
  <c r="AH102" i="18"/>
  <c r="AH101" i="18"/>
  <c r="AH100" i="18"/>
  <c r="AH99" i="18"/>
  <c r="AH98" i="18"/>
  <c r="AH95" i="18"/>
  <c r="AH94" i="18"/>
  <c r="AH93" i="18"/>
  <c r="AH92" i="18"/>
  <c r="AH91" i="18"/>
  <c r="AH90" i="18"/>
  <c r="AH89" i="18"/>
  <c r="AH88" i="18"/>
  <c r="AH87" i="18"/>
  <c r="AH85" i="18"/>
  <c r="AH86" i="18"/>
  <c r="AH84" i="18"/>
  <c r="AH83" i="18"/>
  <c r="AH82" i="18"/>
  <c r="AH81" i="18"/>
  <c r="I80" i="18"/>
  <c r="I119" i="18" s="1"/>
  <c r="AH78" i="18"/>
  <c r="AH77" i="18"/>
  <c r="AH76" i="18"/>
  <c r="AH75" i="18"/>
  <c r="AH74" i="18"/>
  <c r="AH73" i="18"/>
  <c r="AH72" i="18"/>
  <c r="AH71" i="18"/>
  <c r="AH70" i="18"/>
  <c r="AH69" i="18"/>
  <c r="AG68" i="18"/>
  <c r="AF68" i="18"/>
  <c r="AE68" i="18"/>
  <c r="AD68" i="18"/>
  <c r="AC68" i="18"/>
  <c r="AB68" i="18"/>
  <c r="AA68" i="18"/>
  <c r="Z68" i="18"/>
  <c r="X68" i="18"/>
  <c r="W68" i="18"/>
  <c r="V68" i="18"/>
  <c r="U68" i="18"/>
  <c r="T68" i="18"/>
  <c r="R68" i="18"/>
  <c r="Q68" i="18"/>
  <c r="P68" i="18"/>
  <c r="N68" i="18"/>
  <c r="M68" i="18"/>
  <c r="L68" i="18"/>
  <c r="K68" i="18"/>
  <c r="J68" i="18"/>
  <c r="H68" i="18"/>
  <c r="G68" i="18"/>
  <c r="F68" i="18"/>
  <c r="E68" i="18"/>
  <c r="D68" i="18"/>
  <c r="C68" i="18"/>
  <c r="B68" i="18"/>
  <c r="AH67" i="18"/>
  <c r="AH66" i="18"/>
  <c r="AH65" i="18"/>
  <c r="AH64" i="18"/>
  <c r="AH63" i="18"/>
  <c r="AH62" i="18"/>
  <c r="AH61" i="18"/>
  <c r="AH60" i="18"/>
  <c r="AH59" i="18"/>
  <c r="AH58" i="18"/>
  <c r="I57" i="18"/>
  <c r="I56" i="18"/>
  <c r="AH56" i="18" s="1"/>
  <c r="I55" i="18"/>
  <c r="AH55" i="18" s="1"/>
  <c r="AG54" i="18"/>
  <c r="AF54" i="18"/>
  <c r="AE54" i="18"/>
  <c r="AD54" i="18"/>
  <c r="AC54" i="18"/>
  <c r="AB54" i="18"/>
  <c r="AA54" i="18"/>
  <c r="Z54" i="18"/>
  <c r="X54" i="18"/>
  <c r="W54" i="18"/>
  <c r="V54" i="18"/>
  <c r="U54" i="18"/>
  <c r="T54" i="18"/>
  <c r="R54" i="18"/>
  <c r="Q54" i="18"/>
  <c r="P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AH53" i="18"/>
  <c r="AH52" i="18"/>
  <c r="AH51" i="18"/>
  <c r="AH50" i="18"/>
  <c r="AH49" i="18"/>
  <c r="AH47" i="18"/>
  <c r="AH46" i="18"/>
  <c r="AH45" i="18"/>
  <c r="AH44" i="18"/>
  <c r="AH43" i="18"/>
  <c r="AH42" i="18"/>
  <c r="AH41" i="18"/>
  <c r="AH40" i="18"/>
  <c r="AH39" i="18"/>
  <c r="AH38" i="18"/>
  <c r="AG37" i="18"/>
  <c r="AF37" i="18"/>
  <c r="AE37" i="18"/>
  <c r="AD37" i="18"/>
  <c r="AC37" i="18"/>
  <c r="AB37" i="18"/>
  <c r="AA37" i="18"/>
  <c r="Z37" i="18"/>
  <c r="X37" i="18"/>
  <c r="W37" i="18"/>
  <c r="V37" i="18"/>
  <c r="U37" i="18"/>
  <c r="T37" i="18"/>
  <c r="R37" i="18"/>
  <c r="Q37" i="18"/>
  <c r="P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AH36" i="18"/>
  <c r="AH35" i="18"/>
  <c r="AH33" i="18"/>
  <c r="AH32" i="18"/>
  <c r="AH31" i="18"/>
  <c r="AH30" i="18"/>
  <c r="AH29" i="18"/>
  <c r="AH28" i="18"/>
  <c r="AH27" i="18"/>
  <c r="AH26" i="18"/>
  <c r="AH25" i="18"/>
  <c r="AH24" i="18"/>
  <c r="AH23" i="18"/>
  <c r="AH22" i="18"/>
  <c r="AH21" i="18"/>
  <c r="AH20" i="18"/>
  <c r="AH19" i="18"/>
  <c r="AH18" i="18"/>
  <c r="AH17" i="18"/>
  <c r="AH16" i="18"/>
  <c r="AH15" i="18"/>
  <c r="AH14" i="18"/>
  <c r="AH13" i="18"/>
  <c r="AH12" i="18"/>
  <c r="AH11" i="18"/>
  <c r="AH10" i="18"/>
  <c r="AH9" i="18"/>
  <c r="AH8" i="18"/>
  <c r="AH7" i="18"/>
  <c r="AH6" i="18"/>
  <c r="AH5" i="18"/>
  <c r="AH4" i="18"/>
  <c r="AH3" i="18"/>
  <c r="C182" i="17"/>
  <c r="D182" i="17"/>
  <c r="E182" i="17"/>
  <c r="F182" i="17"/>
  <c r="G182" i="17"/>
  <c r="H182" i="17"/>
  <c r="K182" i="17"/>
  <c r="L182" i="17"/>
  <c r="M182" i="17"/>
  <c r="N182" i="17"/>
  <c r="O182" i="17"/>
  <c r="P182" i="17"/>
  <c r="Q182" i="17"/>
  <c r="R182" i="17"/>
  <c r="S182" i="17"/>
  <c r="T182" i="17"/>
  <c r="U182" i="17"/>
  <c r="V182" i="17"/>
  <c r="W182" i="17"/>
  <c r="X182" i="17"/>
  <c r="Y182" i="17"/>
  <c r="Z182" i="17"/>
  <c r="AA182" i="17"/>
  <c r="AB182" i="17"/>
  <c r="AC182" i="17"/>
  <c r="AD182" i="17"/>
  <c r="B182" i="17"/>
  <c r="E180" i="18" l="1"/>
  <c r="D199" i="18"/>
  <c r="E199" i="18" s="1"/>
  <c r="F199" i="18" s="1"/>
  <c r="T181" i="18"/>
  <c r="G188" i="18" s="1"/>
  <c r="AH119" i="18"/>
  <c r="AA181" i="18"/>
  <c r="H198" i="18" s="1"/>
  <c r="J181" i="18"/>
  <c r="D193" i="18" s="1"/>
  <c r="F181" i="18"/>
  <c r="D185" i="18" s="1"/>
  <c r="AG181" i="18"/>
  <c r="J198" i="18" s="1"/>
  <c r="I134" i="18"/>
  <c r="AH134" i="18" s="1"/>
  <c r="I68" i="18"/>
  <c r="AH68" i="18" s="1"/>
  <c r="AE143" i="18"/>
  <c r="Q143" i="18"/>
  <c r="G181" i="18"/>
  <c r="AH140" i="18"/>
  <c r="C143" i="18"/>
  <c r="P143" i="18"/>
  <c r="W143" i="18"/>
  <c r="AD143" i="18"/>
  <c r="V181" i="18"/>
  <c r="G197" i="18" s="1"/>
  <c r="AH37" i="18"/>
  <c r="AH54" i="18"/>
  <c r="AH80" i="18"/>
  <c r="E143" i="18"/>
  <c r="K143" i="18"/>
  <c r="R143" i="18"/>
  <c r="Z143" i="18"/>
  <c r="AF143" i="18"/>
  <c r="H181" i="18"/>
  <c r="P181" i="18"/>
  <c r="F188" i="18" s="1"/>
  <c r="W181" i="18"/>
  <c r="G193" i="18" s="1"/>
  <c r="AD181" i="18"/>
  <c r="I198" i="18" s="1"/>
  <c r="X143" i="18"/>
  <c r="F143" i="18"/>
  <c r="T143" i="18"/>
  <c r="AA143" i="18"/>
  <c r="AG143" i="18"/>
  <c r="Q181" i="18"/>
  <c r="F192" i="18" s="1"/>
  <c r="X181" i="18"/>
  <c r="G198" i="18" s="1"/>
  <c r="AE181" i="18"/>
  <c r="J143" i="18"/>
  <c r="AC181" i="18"/>
  <c r="I197" i="18" s="1"/>
  <c r="G143" i="18"/>
  <c r="M143" i="18"/>
  <c r="U143" i="18"/>
  <c r="AB143" i="18"/>
  <c r="D181" i="18"/>
  <c r="C192" i="18" s="1"/>
  <c r="K181" i="18"/>
  <c r="E185" i="18" s="1"/>
  <c r="R181" i="18"/>
  <c r="F193" i="18" s="1"/>
  <c r="Z181" i="18"/>
  <c r="H197" i="18" s="1"/>
  <c r="AF181" i="18"/>
  <c r="D143" i="18"/>
  <c r="N181" i="18"/>
  <c r="E193" i="18" s="1"/>
  <c r="L181" i="18"/>
  <c r="E188" i="18" s="1"/>
  <c r="AH131" i="18"/>
  <c r="U181" i="18"/>
  <c r="G192" i="18" s="1"/>
  <c r="AB181" i="18"/>
  <c r="B143" i="18"/>
  <c r="H143" i="18"/>
  <c r="N143" i="18"/>
  <c r="V143" i="18"/>
  <c r="AC143" i="18"/>
  <c r="E181" i="18"/>
  <c r="C193" i="18" s="1"/>
  <c r="L143" i="18"/>
  <c r="M181" i="18"/>
  <c r="E192" i="18" s="1"/>
  <c r="AH142" i="18"/>
  <c r="AH57" i="18"/>
  <c r="I179" i="18"/>
  <c r="AD140" i="17"/>
  <c r="AC140" i="17"/>
  <c r="AB140" i="17"/>
  <c r="AD138" i="17"/>
  <c r="AC138" i="17"/>
  <c r="AB138" i="17"/>
  <c r="AD132" i="17"/>
  <c r="AC132" i="17"/>
  <c r="AB132" i="17"/>
  <c r="AD129" i="17"/>
  <c r="AC129" i="17"/>
  <c r="AB129" i="17"/>
  <c r="AD118" i="17"/>
  <c r="AC118" i="17"/>
  <c r="AB118" i="17"/>
  <c r="AD67" i="17"/>
  <c r="AC67" i="17"/>
  <c r="AB67" i="17"/>
  <c r="AD53" i="17"/>
  <c r="AC53" i="17"/>
  <c r="AB53" i="17"/>
  <c r="AD37" i="17"/>
  <c r="AC37" i="17"/>
  <c r="AB37" i="17"/>
  <c r="AA140" i="17"/>
  <c r="Z140" i="17"/>
  <c r="Y140" i="17"/>
  <c r="AA138" i="17"/>
  <c r="Z138" i="17"/>
  <c r="Y138" i="17"/>
  <c r="AA132" i="17"/>
  <c r="Z132" i="17"/>
  <c r="Y132" i="17"/>
  <c r="AA129" i="17"/>
  <c r="Z129" i="17"/>
  <c r="Y129" i="17"/>
  <c r="AA118" i="17"/>
  <c r="Z118" i="17"/>
  <c r="Y118" i="17"/>
  <c r="AA67" i="17"/>
  <c r="Z67" i="17"/>
  <c r="Y67" i="17"/>
  <c r="AA53" i="17"/>
  <c r="Z53" i="17"/>
  <c r="Y53" i="17"/>
  <c r="AA37" i="17"/>
  <c r="Z37" i="17"/>
  <c r="Y37" i="17"/>
  <c r="J197" i="17"/>
  <c r="C198" i="17"/>
  <c r="B197" i="17"/>
  <c r="T140" i="17"/>
  <c r="U140" i="17"/>
  <c r="V140" i="17"/>
  <c r="W140" i="17"/>
  <c r="X140" i="17"/>
  <c r="T138" i="17"/>
  <c r="U138" i="17"/>
  <c r="V138" i="17"/>
  <c r="W138" i="17"/>
  <c r="X138" i="17"/>
  <c r="T132" i="17"/>
  <c r="U132" i="17"/>
  <c r="V132" i="17"/>
  <c r="W132" i="17"/>
  <c r="X132" i="17"/>
  <c r="T129" i="17"/>
  <c r="U129" i="17"/>
  <c r="V129" i="17"/>
  <c r="W129" i="17"/>
  <c r="X129" i="17"/>
  <c r="T118" i="17"/>
  <c r="U118" i="17"/>
  <c r="V118" i="17"/>
  <c r="W118" i="17"/>
  <c r="X118" i="17"/>
  <c r="T67" i="17"/>
  <c r="U67" i="17"/>
  <c r="V67" i="17"/>
  <c r="W67" i="17"/>
  <c r="X67" i="17"/>
  <c r="W53" i="17"/>
  <c r="X53" i="17"/>
  <c r="W37" i="17"/>
  <c r="X37" i="17"/>
  <c r="T37" i="17"/>
  <c r="T53" i="17"/>
  <c r="U53" i="17"/>
  <c r="V53" i="17"/>
  <c r="AE63" i="17"/>
  <c r="AE48" i="17"/>
  <c r="AE5" i="17"/>
  <c r="V37" i="17"/>
  <c r="AE136" i="17"/>
  <c r="AE3" i="17"/>
  <c r="AE120" i="17"/>
  <c r="AE121" i="17"/>
  <c r="B192" i="17"/>
  <c r="AE185" i="17"/>
  <c r="AE183" i="17"/>
  <c r="AE176" i="17"/>
  <c r="AE175" i="17"/>
  <c r="AE174" i="17"/>
  <c r="AE170" i="17"/>
  <c r="AE169" i="17"/>
  <c r="J168" i="17"/>
  <c r="J182" i="17" s="1"/>
  <c r="I168" i="17"/>
  <c r="AE167" i="17"/>
  <c r="AE166" i="17"/>
  <c r="AE165" i="17"/>
  <c r="AE164" i="17"/>
  <c r="AE163" i="17"/>
  <c r="AE162" i="17"/>
  <c r="AE161" i="17"/>
  <c r="AE160" i="17"/>
  <c r="AE159" i="17"/>
  <c r="AE158" i="17"/>
  <c r="AE157" i="17"/>
  <c r="AE156" i="17"/>
  <c r="AE155" i="17"/>
  <c r="AE154" i="17"/>
  <c r="AE153" i="17"/>
  <c r="AE152" i="17"/>
  <c r="AE151" i="17"/>
  <c r="AE150" i="17"/>
  <c r="AE149" i="17"/>
  <c r="I148" i="17"/>
  <c r="AE147" i="17"/>
  <c r="AE146" i="17"/>
  <c r="AE145" i="17"/>
  <c r="AE144" i="17"/>
  <c r="AE143" i="17"/>
  <c r="AE142" i="17"/>
  <c r="S140" i="17"/>
  <c r="R140" i="17"/>
  <c r="Q140" i="17"/>
  <c r="P140" i="17"/>
  <c r="O140" i="17"/>
  <c r="N140" i="17"/>
  <c r="M140" i="17"/>
  <c r="L140" i="17"/>
  <c r="K140" i="17"/>
  <c r="J140" i="17"/>
  <c r="I140" i="17"/>
  <c r="H140" i="17"/>
  <c r="G140" i="17"/>
  <c r="F140" i="17"/>
  <c r="E140" i="17"/>
  <c r="D140" i="17"/>
  <c r="C140" i="17"/>
  <c r="B140" i="17"/>
  <c r="AE139" i="17"/>
  <c r="S138" i="17"/>
  <c r="R138" i="17"/>
  <c r="Q138" i="17"/>
  <c r="P138" i="17"/>
  <c r="O138" i="17"/>
  <c r="N138" i="17"/>
  <c r="M138" i="17"/>
  <c r="L138" i="17"/>
  <c r="K138" i="17"/>
  <c r="J138" i="17"/>
  <c r="I138" i="17"/>
  <c r="H138" i="17"/>
  <c r="G138" i="17"/>
  <c r="F138" i="17"/>
  <c r="E138" i="17"/>
  <c r="D138" i="17"/>
  <c r="C138" i="17"/>
  <c r="B138" i="17"/>
  <c r="AE137" i="17"/>
  <c r="AE135" i="17"/>
  <c r="AE134" i="17"/>
  <c r="AE133" i="17"/>
  <c r="S132" i="17"/>
  <c r="R132" i="17"/>
  <c r="Q132" i="17"/>
  <c r="P132" i="17"/>
  <c r="O132" i="17"/>
  <c r="N132" i="17"/>
  <c r="M132" i="17"/>
  <c r="L132" i="17"/>
  <c r="K132" i="17"/>
  <c r="J132" i="17"/>
  <c r="H132" i="17"/>
  <c r="G132" i="17"/>
  <c r="F132" i="17"/>
  <c r="E132" i="17"/>
  <c r="D132" i="17"/>
  <c r="C132" i="17"/>
  <c r="B132" i="17"/>
  <c r="I131" i="17"/>
  <c r="AE131" i="17" s="1"/>
  <c r="AE130" i="17"/>
  <c r="S129" i="17"/>
  <c r="R129" i="17"/>
  <c r="Q129" i="17"/>
  <c r="P129" i="17"/>
  <c r="O129" i="17"/>
  <c r="N129" i="17"/>
  <c r="M129" i="17"/>
  <c r="K129" i="17"/>
  <c r="J129" i="17"/>
  <c r="I129" i="17"/>
  <c r="G129" i="17"/>
  <c r="F129" i="17"/>
  <c r="E129" i="17"/>
  <c r="D129" i="17"/>
  <c r="C129" i="17"/>
  <c r="B129" i="17"/>
  <c r="AE128" i="17"/>
  <c r="L128" i="17"/>
  <c r="L129" i="17" s="1"/>
  <c r="H128" i="17"/>
  <c r="H129" i="17" s="1"/>
  <c r="AE127" i="17"/>
  <c r="AE126" i="17"/>
  <c r="AE125" i="17"/>
  <c r="AE124" i="17"/>
  <c r="AE123" i="17"/>
  <c r="AE122" i="17"/>
  <c r="AE119" i="17"/>
  <c r="S118" i="17"/>
  <c r="R118" i="17"/>
  <c r="Q118" i="17"/>
  <c r="P118" i="17"/>
  <c r="O118" i="17"/>
  <c r="N118" i="17"/>
  <c r="M118" i="17"/>
  <c r="L118" i="17"/>
  <c r="K118" i="17"/>
  <c r="J118" i="17"/>
  <c r="H118" i="17"/>
  <c r="G118" i="17"/>
  <c r="F118" i="17"/>
  <c r="E118" i="17"/>
  <c r="D118" i="17"/>
  <c r="C118" i="17"/>
  <c r="B118" i="17"/>
  <c r="AE117" i="17"/>
  <c r="AE111" i="17"/>
  <c r="AE110" i="17"/>
  <c r="AE109" i="17"/>
  <c r="AE108" i="17"/>
  <c r="AE107" i="17"/>
  <c r="AE105" i="17"/>
  <c r="AE104" i="17"/>
  <c r="AE103" i="17"/>
  <c r="AE102" i="17"/>
  <c r="AE101" i="17"/>
  <c r="AE100" i="17"/>
  <c r="AE99" i="17"/>
  <c r="AE98" i="17"/>
  <c r="AE97" i="17"/>
  <c r="AE94" i="17"/>
  <c r="AE93" i="17"/>
  <c r="AE92" i="17"/>
  <c r="AE91" i="17"/>
  <c r="AE90" i="17"/>
  <c r="AE89" i="17"/>
  <c r="AE88" i="17"/>
  <c r="AE87" i="17"/>
  <c r="AE86" i="17"/>
  <c r="AE85" i="17"/>
  <c r="AE84" i="17"/>
  <c r="AE83" i="17"/>
  <c r="AE82" i="17"/>
  <c r="AE81" i="17"/>
  <c r="AE80" i="17"/>
  <c r="I79" i="17"/>
  <c r="AE79" i="17" s="1"/>
  <c r="AE78" i="17"/>
  <c r="AE77" i="17"/>
  <c r="AE76" i="17"/>
  <c r="AE75" i="17"/>
  <c r="AE74" i="17"/>
  <c r="AE73" i="17"/>
  <c r="AE72" i="17"/>
  <c r="AE71" i="17"/>
  <c r="AE70" i="17"/>
  <c r="AE69" i="17"/>
  <c r="AE68" i="17"/>
  <c r="S67" i="17"/>
  <c r="R67" i="17"/>
  <c r="Q67" i="17"/>
  <c r="P67" i="17"/>
  <c r="O67" i="17"/>
  <c r="N67" i="17"/>
  <c r="M67" i="17"/>
  <c r="L67" i="17"/>
  <c r="K67" i="17"/>
  <c r="J67" i="17"/>
  <c r="H67" i="17"/>
  <c r="G67" i="17"/>
  <c r="F67" i="17"/>
  <c r="E67" i="17"/>
  <c r="D67" i="17"/>
  <c r="C67" i="17"/>
  <c r="B67" i="17"/>
  <c r="AE66" i="17"/>
  <c r="AE65" i="17"/>
  <c r="AE64" i="17"/>
  <c r="AE62" i="17"/>
  <c r="AE61" i="17"/>
  <c r="AE60" i="17"/>
  <c r="AE59" i="17"/>
  <c r="AE58" i="17"/>
  <c r="AE57" i="17"/>
  <c r="I56" i="17"/>
  <c r="AE56" i="17" s="1"/>
  <c r="I55" i="17"/>
  <c r="I54" i="17"/>
  <c r="AE54" i="17" s="1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AE52" i="17"/>
  <c r="AE51" i="17"/>
  <c r="AE50" i="17"/>
  <c r="AE49" i="17"/>
  <c r="AE47" i="17"/>
  <c r="AE46" i="17"/>
  <c r="AE45" i="17"/>
  <c r="AE44" i="17"/>
  <c r="AE43" i="17"/>
  <c r="AE42" i="17"/>
  <c r="AE41" i="17"/>
  <c r="AE40" i="17"/>
  <c r="AE39" i="17"/>
  <c r="AE38" i="17"/>
  <c r="U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E36" i="17"/>
  <c r="AE35" i="17"/>
  <c r="AE33" i="17"/>
  <c r="AE32" i="17"/>
  <c r="AE31" i="17"/>
  <c r="AE30" i="17"/>
  <c r="AE29" i="17"/>
  <c r="AE28" i="17"/>
  <c r="AE27" i="17"/>
  <c r="AE26" i="17"/>
  <c r="AE25" i="17"/>
  <c r="AE24" i="17"/>
  <c r="AE23" i="17"/>
  <c r="AE22" i="17"/>
  <c r="AE21" i="17"/>
  <c r="AE20" i="17"/>
  <c r="AE19" i="17"/>
  <c r="AE18" i="17"/>
  <c r="AE17" i="17"/>
  <c r="AE16" i="17"/>
  <c r="AE15" i="17"/>
  <c r="AE14" i="17"/>
  <c r="AE13" i="17"/>
  <c r="AE12" i="17"/>
  <c r="AE11" i="17"/>
  <c r="AE10" i="17"/>
  <c r="AE9" i="17"/>
  <c r="AE8" i="17"/>
  <c r="AE7" i="17"/>
  <c r="AE6" i="17"/>
  <c r="AE4" i="17"/>
  <c r="J180" i="18" l="1"/>
  <c r="N180" i="18" s="1"/>
  <c r="R180" i="18" s="1"/>
  <c r="E144" i="18"/>
  <c r="I185" i="18"/>
  <c r="AH180" i="18"/>
  <c r="G199" i="18"/>
  <c r="AE148" i="17"/>
  <c r="I182" i="17"/>
  <c r="H193" i="18"/>
  <c r="D188" i="18"/>
  <c r="H188" i="18" s="1"/>
  <c r="I188" i="18" s="1"/>
  <c r="I143" i="18"/>
  <c r="AH143" i="18" s="1"/>
  <c r="H199" i="18"/>
  <c r="I199" i="18" s="1"/>
  <c r="J199" i="18" s="1"/>
  <c r="I181" i="18"/>
  <c r="D192" i="18" s="1"/>
  <c r="H192" i="18" s="1"/>
  <c r="C194" i="18"/>
  <c r="AH179" i="18"/>
  <c r="C199" i="17"/>
  <c r="D199" i="17" s="1"/>
  <c r="E199" i="17" s="1"/>
  <c r="F199" i="17" s="1"/>
  <c r="AA141" i="17"/>
  <c r="Y184" i="17"/>
  <c r="AA184" i="17"/>
  <c r="I198" i="17" s="1"/>
  <c r="Z141" i="17"/>
  <c r="AD184" i="17"/>
  <c r="J198" i="17" s="1"/>
  <c r="AC184" i="17"/>
  <c r="AB141" i="17"/>
  <c r="Y141" i="17"/>
  <c r="Z184" i="17"/>
  <c r="I197" i="17" s="1"/>
  <c r="AD141" i="17"/>
  <c r="AB184" i="17"/>
  <c r="AC141" i="17"/>
  <c r="X184" i="17"/>
  <c r="H198" i="17" s="1"/>
  <c r="W184" i="17"/>
  <c r="H197" i="17" s="1"/>
  <c r="V141" i="17"/>
  <c r="V184" i="17"/>
  <c r="G198" i="17" s="1"/>
  <c r="U184" i="17"/>
  <c r="G193" i="17" s="1"/>
  <c r="T141" i="17"/>
  <c r="X141" i="17"/>
  <c r="W141" i="17"/>
  <c r="T184" i="17"/>
  <c r="G197" i="17" s="1"/>
  <c r="U141" i="17"/>
  <c r="M141" i="17"/>
  <c r="I132" i="17"/>
  <c r="I67" i="17"/>
  <c r="AE67" i="17" s="1"/>
  <c r="AE168" i="17"/>
  <c r="I118" i="17"/>
  <c r="AE118" i="17" s="1"/>
  <c r="L184" i="17"/>
  <c r="E189" i="17" s="1"/>
  <c r="R184" i="17"/>
  <c r="G189" i="17" s="1"/>
  <c r="AE138" i="17"/>
  <c r="G141" i="17"/>
  <c r="S141" i="17"/>
  <c r="K184" i="17"/>
  <c r="Q184" i="17"/>
  <c r="F193" i="17" s="1"/>
  <c r="H141" i="17"/>
  <c r="D184" i="17"/>
  <c r="C192" i="17" s="1"/>
  <c r="AE140" i="17"/>
  <c r="O141" i="17"/>
  <c r="E184" i="17"/>
  <c r="C193" i="17" s="1"/>
  <c r="B141" i="17"/>
  <c r="N141" i="17"/>
  <c r="D141" i="17"/>
  <c r="J141" i="17"/>
  <c r="F184" i="17"/>
  <c r="D188" i="17" s="1"/>
  <c r="H188" i="17" s="1"/>
  <c r="E141" i="17"/>
  <c r="K141" i="17"/>
  <c r="Q141" i="17"/>
  <c r="O184" i="17"/>
  <c r="F189" i="17" s="1"/>
  <c r="AE129" i="17"/>
  <c r="F141" i="17"/>
  <c r="R141" i="17"/>
  <c r="J184" i="17"/>
  <c r="D193" i="17" s="1"/>
  <c r="P141" i="17"/>
  <c r="P184" i="17"/>
  <c r="F192" i="17" s="1"/>
  <c r="AE37" i="17"/>
  <c r="AE53" i="17"/>
  <c r="L141" i="17"/>
  <c r="C141" i="17"/>
  <c r="G184" i="17"/>
  <c r="M184" i="17"/>
  <c r="E192" i="17" s="1"/>
  <c r="H184" i="17"/>
  <c r="D189" i="17" s="1"/>
  <c r="N184" i="17"/>
  <c r="E193" i="17" s="1"/>
  <c r="S184" i="17"/>
  <c r="G192" i="17" s="1"/>
  <c r="AE55" i="17"/>
  <c r="V164" i="16"/>
  <c r="V166" i="16"/>
  <c r="V167" i="16"/>
  <c r="B185" i="16"/>
  <c r="C185" i="16" s="1"/>
  <c r="F184" i="16"/>
  <c r="E184" i="16"/>
  <c r="E183" i="16"/>
  <c r="D183" i="16"/>
  <c r="B180" i="16"/>
  <c r="C180" i="16" s="1"/>
  <c r="F179" i="16"/>
  <c r="E179" i="16"/>
  <c r="D179" i="16"/>
  <c r="F178" i="16"/>
  <c r="E178" i="16"/>
  <c r="D178" i="16"/>
  <c r="B173" i="16"/>
  <c r="U163" i="16"/>
  <c r="T163" i="16"/>
  <c r="S163" i="16"/>
  <c r="R163" i="16"/>
  <c r="Q163" i="16"/>
  <c r="P163" i="16"/>
  <c r="O163" i="16"/>
  <c r="N163" i="16"/>
  <c r="M163" i="16"/>
  <c r="L163" i="16"/>
  <c r="K163" i="16"/>
  <c r="H163" i="16"/>
  <c r="G163" i="16"/>
  <c r="F163" i="16"/>
  <c r="E163" i="16"/>
  <c r="D163" i="16"/>
  <c r="C163" i="16"/>
  <c r="B163" i="16"/>
  <c r="V162" i="16"/>
  <c r="V161" i="16"/>
  <c r="V160" i="16"/>
  <c r="V156" i="16"/>
  <c r="V155" i="16"/>
  <c r="J154" i="16"/>
  <c r="J163" i="16" s="1"/>
  <c r="I154" i="16"/>
  <c r="V154" i="16" s="1"/>
  <c r="V153" i="16"/>
  <c r="V152" i="16"/>
  <c r="V151" i="16"/>
  <c r="V150" i="16"/>
  <c r="V149" i="16"/>
  <c r="V148" i="16"/>
  <c r="V147" i="16"/>
  <c r="V146" i="16"/>
  <c r="V145" i="16"/>
  <c r="V144" i="16"/>
  <c r="V143" i="16"/>
  <c r="V142" i="16"/>
  <c r="V141" i="16"/>
  <c r="V140" i="16"/>
  <c r="V139" i="16"/>
  <c r="V138" i="16"/>
  <c r="V137" i="16"/>
  <c r="V136" i="16"/>
  <c r="V135" i="16"/>
  <c r="I134" i="16"/>
  <c r="I163" i="16" s="1"/>
  <c r="V133" i="16"/>
  <c r="V132" i="16"/>
  <c r="V131" i="16"/>
  <c r="V130" i="16"/>
  <c r="V129" i="16"/>
  <c r="V128" i="16"/>
  <c r="U126" i="16"/>
  <c r="T126" i="16"/>
  <c r="R126" i="16"/>
  <c r="Q126" i="16"/>
  <c r="P126" i="16"/>
  <c r="O126" i="16"/>
  <c r="N126" i="16"/>
  <c r="M126" i="16"/>
  <c r="L126" i="16"/>
  <c r="K126" i="16"/>
  <c r="J126" i="16"/>
  <c r="I126" i="16"/>
  <c r="H126" i="16"/>
  <c r="G126" i="16"/>
  <c r="F126" i="16"/>
  <c r="E126" i="16"/>
  <c r="D126" i="16"/>
  <c r="C126" i="16"/>
  <c r="B126" i="16"/>
  <c r="V125" i="16"/>
  <c r="U124" i="16"/>
  <c r="T124" i="16"/>
  <c r="R124" i="16"/>
  <c r="Q124" i="16"/>
  <c r="P124" i="16"/>
  <c r="O124" i="16"/>
  <c r="N124" i="16"/>
  <c r="M124" i="16"/>
  <c r="L124" i="16"/>
  <c r="K124" i="16"/>
  <c r="J124" i="16"/>
  <c r="I124" i="16"/>
  <c r="H124" i="16"/>
  <c r="G124" i="16"/>
  <c r="F124" i="16"/>
  <c r="E124" i="16"/>
  <c r="D124" i="16"/>
  <c r="C124" i="16"/>
  <c r="B124" i="16"/>
  <c r="V123" i="16"/>
  <c r="V122" i="16"/>
  <c r="V121" i="16"/>
  <c r="V120" i="16"/>
  <c r="U119" i="16"/>
  <c r="T119" i="16"/>
  <c r="R119" i="16"/>
  <c r="Q119" i="16"/>
  <c r="P119" i="16"/>
  <c r="O119" i="16"/>
  <c r="N119" i="16"/>
  <c r="M119" i="16"/>
  <c r="L119" i="16"/>
  <c r="K119" i="16"/>
  <c r="J119" i="16"/>
  <c r="H119" i="16"/>
  <c r="G119" i="16"/>
  <c r="F119" i="16"/>
  <c r="E119" i="16"/>
  <c r="D119" i="16"/>
  <c r="C119" i="16"/>
  <c r="V119" i="16" s="1"/>
  <c r="B119" i="16"/>
  <c r="I118" i="16"/>
  <c r="I119" i="16" s="1"/>
  <c r="V117" i="16"/>
  <c r="U116" i="16"/>
  <c r="T116" i="16"/>
  <c r="R116" i="16"/>
  <c r="Q116" i="16"/>
  <c r="P116" i="16"/>
  <c r="O116" i="16"/>
  <c r="N116" i="16"/>
  <c r="M116" i="16"/>
  <c r="K116" i="16"/>
  <c r="J116" i="16"/>
  <c r="I116" i="16"/>
  <c r="G116" i="16"/>
  <c r="F116" i="16"/>
  <c r="E116" i="16"/>
  <c r="D116" i="16"/>
  <c r="C116" i="16"/>
  <c r="B116" i="16"/>
  <c r="V115" i="16"/>
  <c r="L115" i="16"/>
  <c r="L116" i="16" s="1"/>
  <c r="H115" i="16"/>
  <c r="H116" i="16" s="1"/>
  <c r="V114" i="16"/>
  <c r="V113" i="16"/>
  <c r="V112" i="16"/>
  <c r="V111" i="16"/>
  <c r="V110" i="16"/>
  <c r="V109" i="16"/>
  <c r="V108" i="16"/>
  <c r="V107" i="16"/>
  <c r="U106" i="16"/>
  <c r="T106" i="16"/>
  <c r="R106" i="16"/>
  <c r="Q106" i="16"/>
  <c r="P106" i="16"/>
  <c r="O106" i="16"/>
  <c r="N106" i="16"/>
  <c r="M106" i="16"/>
  <c r="L106" i="16"/>
  <c r="K106" i="16"/>
  <c r="J106" i="16"/>
  <c r="H106" i="16"/>
  <c r="G106" i="16"/>
  <c r="F106" i="16"/>
  <c r="E106" i="16"/>
  <c r="D106" i="16"/>
  <c r="C106" i="16"/>
  <c r="B106" i="16"/>
  <c r="V105" i="16"/>
  <c r="V104" i="16"/>
  <c r="V103" i="16"/>
  <c r="V102" i="16"/>
  <c r="V101" i="16"/>
  <c r="V100" i="16"/>
  <c r="V99" i="16"/>
  <c r="V98" i="16"/>
  <c r="V97" i="16"/>
  <c r="V96" i="16"/>
  <c r="V95" i="16"/>
  <c r="V94" i="16"/>
  <c r="V93" i="16"/>
  <c r="V92" i="16"/>
  <c r="V91" i="16"/>
  <c r="V90" i="16"/>
  <c r="V89" i="16"/>
  <c r="V88" i="16"/>
  <c r="V87" i="16"/>
  <c r="V86" i="16"/>
  <c r="V85" i="16"/>
  <c r="V84" i="16"/>
  <c r="V83" i="16"/>
  <c r="V82" i="16"/>
  <c r="V81" i="16"/>
  <c r="V80" i="16"/>
  <c r="V79" i="16"/>
  <c r="V78" i="16"/>
  <c r="V77" i="16"/>
  <c r="V76" i="16"/>
  <c r="I75" i="16"/>
  <c r="V75" i="16" s="1"/>
  <c r="V74" i="16"/>
  <c r="V73" i="16"/>
  <c r="V72" i="16"/>
  <c r="V71" i="16"/>
  <c r="V70" i="16"/>
  <c r="V69" i="16"/>
  <c r="I68" i="16"/>
  <c r="V67" i="16"/>
  <c r="V66" i="16"/>
  <c r="V65" i="16"/>
  <c r="V64" i="16"/>
  <c r="U63" i="16"/>
  <c r="T63" i="16"/>
  <c r="S63" i="16"/>
  <c r="R63" i="16"/>
  <c r="Q63" i="16"/>
  <c r="P63" i="16"/>
  <c r="O63" i="16"/>
  <c r="N63" i="16"/>
  <c r="M63" i="16"/>
  <c r="L63" i="16"/>
  <c r="K63" i="16"/>
  <c r="J63" i="16"/>
  <c r="H63" i="16"/>
  <c r="G63" i="16"/>
  <c r="F63" i="16"/>
  <c r="E63" i="16"/>
  <c r="D63" i="16"/>
  <c r="C63" i="16"/>
  <c r="B63" i="16"/>
  <c r="V62" i="16"/>
  <c r="V61" i="16"/>
  <c r="V60" i="16"/>
  <c r="V59" i="16"/>
  <c r="V58" i="16"/>
  <c r="V57" i="16"/>
  <c r="V56" i="16"/>
  <c r="V55" i="16"/>
  <c r="V54" i="16"/>
  <c r="I53" i="16"/>
  <c r="V53" i="16" s="1"/>
  <c r="I52" i="16"/>
  <c r="V52" i="16" s="1"/>
  <c r="I51" i="16"/>
  <c r="V51" i="16" s="1"/>
  <c r="U50" i="16"/>
  <c r="T50" i="16"/>
  <c r="R50" i="16"/>
  <c r="Q50" i="16"/>
  <c r="P50" i="16"/>
  <c r="O50" i="16"/>
  <c r="N50" i="16"/>
  <c r="M50" i="16"/>
  <c r="L50" i="16"/>
  <c r="K50" i="16"/>
  <c r="J50" i="16"/>
  <c r="H50" i="16"/>
  <c r="G50" i="16"/>
  <c r="F50" i="16"/>
  <c r="E50" i="16"/>
  <c r="D50" i="16"/>
  <c r="C50" i="16"/>
  <c r="B50" i="16"/>
  <c r="V49" i="16"/>
  <c r="V48" i="16"/>
  <c r="V47" i="16"/>
  <c r="V46" i="16"/>
  <c r="V45" i="16"/>
  <c r="V44" i="16"/>
  <c r="V43" i="16"/>
  <c r="V42" i="16"/>
  <c r="I41" i="16"/>
  <c r="V41" i="16" s="1"/>
  <c r="V40" i="16"/>
  <c r="V39" i="16"/>
  <c r="V38" i="16"/>
  <c r="V37" i="16"/>
  <c r="V36" i="16"/>
  <c r="U35" i="16"/>
  <c r="T35" i="16"/>
  <c r="R35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V34" i="16"/>
  <c r="V33" i="16"/>
  <c r="V32" i="16"/>
  <c r="V31" i="16"/>
  <c r="V30" i="16"/>
  <c r="V29" i="16"/>
  <c r="V28" i="16"/>
  <c r="V27" i="16"/>
  <c r="V26" i="16"/>
  <c r="V25" i="16"/>
  <c r="V24" i="16"/>
  <c r="V23" i="16"/>
  <c r="V22" i="16"/>
  <c r="V21" i="16"/>
  <c r="V20" i="16"/>
  <c r="V19" i="16"/>
  <c r="V18" i="16"/>
  <c r="V17" i="16"/>
  <c r="V16" i="16"/>
  <c r="V15" i="16"/>
  <c r="V14" i="16"/>
  <c r="V13" i="16"/>
  <c r="V12" i="16"/>
  <c r="V11" i="16"/>
  <c r="V10" i="16"/>
  <c r="V9" i="16"/>
  <c r="V8" i="16"/>
  <c r="V7" i="16"/>
  <c r="V6" i="16"/>
  <c r="V5" i="16"/>
  <c r="V4" i="16"/>
  <c r="V3" i="16"/>
  <c r="J165" i="16" l="1"/>
  <c r="D174" i="16" s="1"/>
  <c r="D185" i="16"/>
  <c r="E185" i="16" s="1"/>
  <c r="F185" i="16" s="1"/>
  <c r="G185" i="16" s="1"/>
  <c r="K127" i="16"/>
  <c r="E127" i="16"/>
  <c r="S165" i="16"/>
  <c r="H184" i="16"/>
  <c r="J144" i="18"/>
  <c r="N144" i="18" s="1"/>
  <c r="R144" i="18" s="1"/>
  <c r="W144" i="18" s="1"/>
  <c r="E189" i="18"/>
  <c r="F189" i="18" s="1"/>
  <c r="G189" i="18" s="1"/>
  <c r="I193" i="18"/>
  <c r="I50" i="16"/>
  <c r="I63" i="16"/>
  <c r="K165" i="16"/>
  <c r="I106" i="16"/>
  <c r="I165" i="16" s="1"/>
  <c r="V116" i="16"/>
  <c r="B127" i="16"/>
  <c r="J127" i="16"/>
  <c r="AH181" i="18"/>
  <c r="R127" i="16"/>
  <c r="V124" i="16"/>
  <c r="G127" i="16"/>
  <c r="T165" i="16"/>
  <c r="G173" i="16" s="1"/>
  <c r="D180" i="16"/>
  <c r="E180" i="16" s="1"/>
  <c r="F180" i="16" s="1"/>
  <c r="G180" i="16" s="1"/>
  <c r="F165" i="16"/>
  <c r="D170" i="16" s="1"/>
  <c r="H170" i="16" s="1"/>
  <c r="V134" i="16"/>
  <c r="G165" i="16"/>
  <c r="V63" i="16"/>
  <c r="L127" i="16"/>
  <c r="C127" i="16"/>
  <c r="O127" i="16"/>
  <c r="D165" i="16"/>
  <c r="H178" i="16"/>
  <c r="F127" i="16"/>
  <c r="O165" i="16"/>
  <c r="F171" i="16" s="1"/>
  <c r="D127" i="16"/>
  <c r="H165" i="16"/>
  <c r="D171" i="16" s="1"/>
  <c r="E165" i="16"/>
  <c r="C174" i="16" s="1"/>
  <c r="R165" i="16"/>
  <c r="G171" i="16" s="1"/>
  <c r="H179" i="16"/>
  <c r="H183" i="16"/>
  <c r="D194" i="18"/>
  <c r="E194" i="18" s="1"/>
  <c r="F194" i="18" s="1"/>
  <c r="G194" i="18" s="1"/>
  <c r="G199" i="17"/>
  <c r="H199" i="17" s="1"/>
  <c r="I199" i="17" s="1"/>
  <c r="J199" i="17" s="1"/>
  <c r="I184" i="17"/>
  <c r="AE184" i="17" s="1"/>
  <c r="I141" i="17"/>
  <c r="AE141" i="17" s="1"/>
  <c r="AE132" i="17"/>
  <c r="H193" i="17"/>
  <c r="H189" i="17"/>
  <c r="I189" i="17" s="1"/>
  <c r="AE182" i="17"/>
  <c r="C194" i="17"/>
  <c r="V50" i="16"/>
  <c r="M165" i="16"/>
  <c r="E173" i="16" s="1"/>
  <c r="N165" i="16"/>
  <c r="E174" i="16" s="1"/>
  <c r="U127" i="16"/>
  <c r="Q127" i="16"/>
  <c r="P127" i="16"/>
  <c r="P165" i="16"/>
  <c r="F173" i="16" s="1"/>
  <c r="U165" i="16"/>
  <c r="G174" i="16" s="1"/>
  <c r="M127" i="16"/>
  <c r="V35" i="16"/>
  <c r="Q165" i="16"/>
  <c r="F174" i="16" s="1"/>
  <c r="L165" i="16"/>
  <c r="E171" i="16" s="1"/>
  <c r="H171" i="16" s="1"/>
  <c r="I171" i="16" s="1"/>
  <c r="V163" i="16"/>
  <c r="V68" i="16"/>
  <c r="V126" i="16"/>
  <c r="T127" i="16"/>
  <c r="V118" i="16"/>
  <c r="H127" i="16"/>
  <c r="N127" i="16"/>
  <c r="D173" i="16" l="1"/>
  <c r="AH144" i="18"/>
  <c r="V106" i="16"/>
  <c r="C173" i="16"/>
  <c r="C175" i="16" s="1"/>
  <c r="D175" i="16" s="1"/>
  <c r="E175" i="16" s="1"/>
  <c r="F175" i="16" s="1"/>
  <c r="G175" i="16" s="1"/>
  <c r="V165" i="16"/>
  <c r="I127" i="16"/>
  <c r="D192" i="17"/>
  <c r="D194" i="17" s="1"/>
  <c r="E194" i="17" s="1"/>
  <c r="F194" i="17" s="1"/>
  <c r="G194" i="17" s="1"/>
  <c r="H174" i="16"/>
  <c r="V127" i="16"/>
  <c r="H173" i="16" l="1"/>
  <c r="I174" i="16" s="1"/>
  <c r="H192" i="17"/>
  <c r="I193" i="17" s="1"/>
  <c r="C163" i="15"/>
  <c r="D163" i="15"/>
  <c r="E163" i="15"/>
  <c r="F163" i="15"/>
  <c r="G163" i="15"/>
  <c r="H163" i="15"/>
  <c r="K163" i="15"/>
  <c r="L163" i="15"/>
  <c r="M163" i="15"/>
  <c r="N163" i="15"/>
  <c r="O163" i="15"/>
  <c r="P163" i="15"/>
  <c r="Q163" i="15"/>
  <c r="R163" i="15"/>
  <c r="S163" i="15"/>
  <c r="T163" i="15"/>
  <c r="U163" i="15"/>
  <c r="B163" i="15"/>
  <c r="B183" i="15" l="1"/>
  <c r="C183" i="15" s="1"/>
  <c r="F182" i="15"/>
  <c r="E182" i="15"/>
  <c r="H182" i="15" s="1"/>
  <c r="E181" i="15"/>
  <c r="D181" i="15"/>
  <c r="B178" i="15"/>
  <c r="C178" i="15" s="1"/>
  <c r="F177" i="15"/>
  <c r="E177" i="15"/>
  <c r="D177" i="15"/>
  <c r="F176" i="15"/>
  <c r="E176" i="15"/>
  <c r="D176" i="15"/>
  <c r="B171" i="15"/>
  <c r="V161" i="15"/>
  <c r="V162" i="15"/>
  <c r="V160" i="15"/>
  <c r="V156" i="15"/>
  <c r="V155" i="15"/>
  <c r="J154" i="15"/>
  <c r="J163" i="15" s="1"/>
  <c r="I154" i="15"/>
  <c r="V153" i="15"/>
  <c r="V152" i="15"/>
  <c r="V151" i="15"/>
  <c r="V150" i="15"/>
  <c r="V149" i="15"/>
  <c r="V148" i="15"/>
  <c r="V147" i="15"/>
  <c r="V146" i="15"/>
  <c r="V145" i="15"/>
  <c r="V144" i="15"/>
  <c r="V143" i="15"/>
  <c r="V142" i="15"/>
  <c r="V141" i="15"/>
  <c r="V140" i="15"/>
  <c r="V139" i="15"/>
  <c r="V138" i="15"/>
  <c r="V137" i="15"/>
  <c r="V136" i="15"/>
  <c r="V135" i="15"/>
  <c r="I134" i="15"/>
  <c r="V133" i="15"/>
  <c r="V132" i="15"/>
  <c r="V131" i="15"/>
  <c r="V130" i="15"/>
  <c r="V129" i="15"/>
  <c r="V128" i="15"/>
  <c r="U126" i="15"/>
  <c r="T126" i="15"/>
  <c r="R126" i="15"/>
  <c r="Q126" i="15"/>
  <c r="P126" i="15"/>
  <c r="O126" i="15"/>
  <c r="N126" i="15"/>
  <c r="M126" i="15"/>
  <c r="L126" i="15"/>
  <c r="K126" i="15"/>
  <c r="J126" i="15"/>
  <c r="I126" i="15"/>
  <c r="H126" i="15"/>
  <c r="G126" i="15"/>
  <c r="F126" i="15"/>
  <c r="E126" i="15"/>
  <c r="D126" i="15"/>
  <c r="C126" i="15"/>
  <c r="B126" i="15"/>
  <c r="V125" i="15"/>
  <c r="U124" i="15"/>
  <c r="T124" i="15"/>
  <c r="R124" i="15"/>
  <c r="Q124" i="15"/>
  <c r="P124" i="15"/>
  <c r="O124" i="15"/>
  <c r="N124" i="15"/>
  <c r="M124" i="15"/>
  <c r="L124" i="15"/>
  <c r="K124" i="15"/>
  <c r="J124" i="15"/>
  <c r="I124" i="15"/>
  <c r="H124" i="15"/>
  <c r="G124" i="15"/>
  <c r="F124" i="15"/>
  <c r="E124" i="15"/>
  <c r="D124" i="15"/>
  <c r="C124" i="15"/>
  <c r="B124" i="15"/>
  <c r="V123" i="15"/>
  <c r="V122" i="15"/>
  <c r="V121" i="15"/>
  <c r="V120" i="15"/>
  <c r="U119" i="15"/>
  <c r="T119" i="15"/>
  <c r="R119" i="15"/>
  <c r="Q119" i="15"/>
  <c r="P119" i="15"/>
  <c r="O119" i="15"/>
  <c r="N119" i="15"/>
  <c r="M119" i="15"/>
  <c r="L119" i="15"/>
  <c r="K119" i="15"/>
  <c r="J119" i="15"/>
  <c r="H119" i="15"/>
  <c r="G119" i="15"/>
  <c r="F119" i="15"/>
  <c r="E119" i="15"/>
  <c r="D119" i="15"/>
  <c r="C119" i="15"/>
  <c r="B119" i="15"/>
  <c r="I118" i="15"/>
  <c r="I119" i="15" s="1"/>
  <c r="V117" i="15"/>
  <c r="U116" i="15"/>
  <c r="T116" i="15"/>
  <c r="R116" i="15"/>
  <c r="Q116" i="15"/>
  <c r="P116" i="15"/>
  <c r="O116" i="15"/>
  <c r="N116" i="15"/>
  <c r="M116" i="15"/>
  <c r="K116" i="15"/>
  <c r="J116" i="15"/>
  <c r="I116" i="15"/>
  <c r="G116" i="15"/>
  <c r="F116" i="15"/>
  <c r="E116" i="15"/>
  <c r="D116" i="15"/>
  <c r="C116" i="15"/>
  <c r="B116" i="15"/>
  <c r="V115" i="15"/>
  <c r="L115" i="15"/>
  <c r="L116" i="15" s="1"/>
  <c r="H115" i="15"/>
  <c r="H116" i="15" s="1"/>
  <c r="V114" i="15"/>
  <c r="V113" i="15"/>
  <c r="V112" i="15"/>
  <c r="V111" i="15"/>
  <c r="V110" i="15"/>
  <c r="V109" i="15"/>
  <c r="V108" i="15"/>
  <c r="V107" i="15"/>
  <c r="U106" i="15"/>
  <c r="T106" i="15"/>
  <c r="R106" i="15"/>
  <c r="Q106" i="15"/>
  <c r="P106" i="15"/>
  <c r="O106" i="15"/>
  <c r="N106" i="15"/>
  <c r="M106" i="15"/>
  <c r="L106" i="15"/>
  <c r="K106" i="15"/>
  <c r="J106" i="15"/>
  <c r="H106" i="15"/>
  <c r="G106" i="15"/>
  <c r="F106" i="15"/>
  <c r="E106" i="15"/>
  <c r="D106" i="15"/>
  <c r="C106" i="15"/>
  <c r="B106" i="15"/>
  <c r="V105" i="15"/>
  <c r="V104" i="15"/>
  <c r="V103" i="15"/>
  <c r="V102" i="15"/>
  <c r="V101" i="15"/>
  <c r="V100" i="15"/>
  <c r="V99" i="15"/>
  <c r="V98" i="15"/>
  <c r="V97" i="15"/>
  <c r="V96" i="15"/>
  <c r="V95" i="15"/>
  <c r="V94" i="15"/>
  <c r="V93" i="15"/>
  <c r="V92" i="15"/>
  <c r="V91" i="15"/>
  <c r="V90" i="15"/>
  <c r="V89" i="15"/>
  <c r="V88" i="15"/>
  <c r="V87" i="15"/>
  <c r="V86" i="15"/>
  <c r="V85" i="15"/>
  <c r="V84" i="15"/>
  <c r="V83" i="15"/>
  <c r="V82" i="15"/>
  <c r="V81" i="15"/>
  <c r="V80" i="15"/>
  <c r="V79" i="15"/>
  <c r="V78" i="15"/>
  <c r="V77" i="15"/>
  <c r="V76" i="15"/>
  <c r="I75" i="15"/>
  <c r="V74" i="15"/>
  <c r="V73" i="15"/>
  <c r="V72" i="15"/>
  <c r="V71" i="15"/>
  <c r="V70" i="15"/>
  <c r="V69" i="15"/>
  <c r="I68" i="15"/>
  <c r="V68" i="15" s="1"/>
  <c r="V67" i="15"/>
  <c r="V66" i="15"/>
  <c r="V65" i="15"/>
  <c r="V64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H63" i="15"/>
  <c r="G63" i="15"/>
  <c r="F63" i="15"/>
  <c r="E63" i="15"/>
  <c r="D63" i="15"/>
  <c r="C63" i="15"/>
  <c r="B63" i="15"/>
  <c r="V62" i="15"/>
  <c r="V60" i="15"/>
  <c r="V59" i="15"/>
  <c r="V61" i="15"/>
  <c r="V58" i="15"/>
  <c r="V57" i="15"/>
  <c r="V56" i="15"/>
  <c r="V55" i="15"/>
  <c r="V54" i="15"/>
  <c r="I53" i="15"/>
  <c r="V53" i="15" s="1"/>
  <c r="I52" i="15"/>
  <c r="V52" i="15" s="1"/>
  <c r="I51" i="15"/>
  <c r="V51" i="15" s="1"/>
  <c r="U50" i="15"/>
  <c r="T50" i="15"/>
  <c r="R50" i="15"/>
  <c r="Q50" i="15"/>
  <c r="P50" i="15"/>
  <c r="O50" i="15"/>
  <c r="N50" i="15"/>
  <c r="M50" i="15"/>
  <c r="L50" i="15"/>
  <c r="K50" i="15"/>
  <c r="J50" i="15"/>
  <c r="H50" i="15"/>
  <c r="G50" i="15"/>
  <c r="F50" i="15"/>
  <c r="E50" i="15"/>
  <c r="D50" i="15"/>
  <c r="C50" i="15"/>
  <c r="B50" i="15"/>
  <c r="V49" i="15"/>
  <c r="V48" i="15"/>
  <c r="V47" i="15"/>
  <c r="V46" i="15"/>
  <c r="V45" i="15"/>
  <c r="V44" i="15"/>
  <c r="V43" i="15"/>
  <c r="V42" i="15"/>
  <c r="I41" i="15"/>
  <c r="V41" i="15" s="1"/>
  <c r="V40" i="15"/>
  <c r="V39" i="15"/>
  <c r="V38" i="15"/>
  <c r="V37" i="15"/>
  <c r="V36" i="15"/>
  <c r="U35" i="15"/>
  <c r="T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V34" i="15"/>
  <c r="V33" i="15"/>
  <c r="V32" i="15"/>
  <c r="V31" i="15"/>
  <c r="V30" i="15"/>
  <c r="V29" i="15"/>
  <c r="V28" i="15"/>
  <c r="V27" i="15"/>
  <c r="V26" i="15"/>
  <c r="V25" i="15"/>
  <c r="V24" i="15"/>
  <c r="V23" i="15"/>
  <c r="V22" i="15"/>
  <c r="V21" i="15"/>
  <c r="V20" i="15"/>
  <c r="V19" i="15"/>
  <c r="V18" i="15"/>
  <c r="V17" i="15"/>
  <c r="V16" i="15"/>
  <c r="V15" i="15"/>
  <c r="V14" i="15"/>
  <c r="V13" i="15"/>
  <c r="V12" i="15"/>
  <c r="V11" i="15"/>
  <c r="V10" i="15"/>
  <c r="V9" i="15"/>
  <c r="V8" i="15"/>
  <c r="V7" i="15"/>
  <c r="V6" i="15"/>
  <c r="V5" i="15"/>
  <c r="V4" i="15"/>
  <c r="V3" i="15"/>
  <c r="D178" i="15" l="1"/>
  <c r="H176" i="15"/>
  <c r="F127" i="15"/>
  <c r="V154" i="15"/>
  <c r="E178" i="15"/>
  <c r="F178" i="15" s="1"/>
  <c r="G178" i="15" s="1"/>
  <c r="D165" i="15"/>
  <c r="C171" i="15" s="1"/>
  <c r="I163" i="15"/>
  <c r="V163" i="15" s="1"/>
  <c r="H177" i="15"/>
  <c r="I50" i="15"/>
  <c r="V50" i="15" s="1"/>
  <c r="D183" i="15"/>
  <c r="E183" i="15" s="1"/>
  <c r="F183" i="15" s="1"/>
  <c r="G183" i="15" s="1"/>
  <c r="C127" i="15"/>
  <c r="E165" i="15"/>
  <c r="C172" i="15" s="1"/>
  <c r="M165" i="15"/>
  <c r="E171" i="15" s="1"/>
  <c r="S165" i="15"/>
  <c r="J127" i="15"/>
  <c r="L127" i="15"/>
  <c r="G127" i="15"/>
  <c r="T127" i="15"/>
  <c r="K127" i="15"/>
  <c r="U165" i="15"/>
  <c r="G172" i="15" s="1"/>
  <c r="V35" i="15"/>
  <c r="R127" i="15"/>
  <c r="I106" i="15"/>
  <c r="P165" i="15"/>
  <c r="F171" i="15" s="1"/>
  <c r="V124" i="15"/>
  <c r="J165" i="15"/>
  <c r="D172" i="15" s="1"/>
  <c r="K165" i="15"/>
  <c r="Q165" i="15"/>
  <c r="F172" i="15" s="1"/>
  <c r="D127" i="15"/>
  <c r="P127" i="15"/>
  <c r="F165" i="15"/>
  <c r="D168" i="15" s="1"/>
  <c r="H168" i="15" s="1"/>
  <c r="N165" i="15"/>
  <c r="E172" i="15" s="1"/>
  <c r="T165" i="15"/>
  <c r="G171" i="15" s="1"/>
  <c r="M127" i="15"/>
  <c r="E127" i="15"/>
  <c r="Q127" i="15"/>
  <c r="G165" i="15"/>
  <c r="H181" i="15"/>
  <c r="V116" i="15"/>
  <c r="B127" i="15"/>
  <c r="H165" i="15"/>
  <c r="D169" i="15" s="1"/>
  <c r="N127" i="15"/>
  <c r="U127" i="15"/>
  <c r="R165" i="15"/>
  <c r="G169" i="15" s="1"/>
  <c r="O127" i="15"/>
  <c r="O165" i="15"/>
  <c r="F169" i="15" s="1"/>
  <c r="C173" i="15"/>
  <c r="V106" i="15"/>
  <c r="V119" i="15"/>
  <c r="L165" i="15"/>
  <c r="E169" i="15" s="1"/>
  <c r="I63" i="15"/>
  <c r="V134" i="15"/>
  <c r="V126" i="15"/>
  <c r="V75" i="15"/>
  <c r="V118" i="15"/>
  <c r="H127" i="15"/>
  <c r="B106" i="14"/>
  <c r="C106" i="14"/>
  <c r="D106" i="14"/>
  <c r="E106" i="14"/>
  <c r="F106" i="14"/>
  <c r="G106" i="14"/>
  <c r="H106" i="14"/>
  <c r="J106" i="14"/>
  <c r="K106" i="14"/>
  <c r="L106" i="14"/>
  <c r="M106" i="14"/>
  <c r="N106" i="14"/>
  <c r="O106" i="14"/>
  <c r="P106" i="14"/>
  <c r="Q106" i="14"/>
  <c r="R106" i="14"/>
  <c r="T106" i="14"/>
  <c r="U106" i="14"/>
  <c r="I165" i="15" l="1"/>
  <c r="D171" i="15" s="1"/>
  <c r="H171" i="15" s="1"/>
  <c r="H172" i="15"/>
  <c r="V63" i="15"/>
  <c r="I127" i="15"/>
  <c r="V127" i="15" s="1"/>
  <c r="H169" i="15"/>
  <c r="I169" i="15" s="1"/>
  <c r="V15" i="14"/>
  <c r="V65" i="14"/>
  <c r="C35" i="14"/>
  <c r="V5" i="14"/>
  <c r="V6" i="14"/>
  <c r="V7" i="14"/>
  <c r="V8" i="14"/>
  <c r="V9" i="14"/>
  <c r="V10" i="14"/>
  <c r="V11" i="14"/>
  <c r="V12" i="14"/>
  <c r="V13" i="14"/>
  <c r="V14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6" i="14"/>
  <c r="V37" i="14"/>
  <c r="V38" i="14"/>
  <c r="V39" i="14"/>
  <c r="V40" i="14"/>
  <c r="V42" i="14"/>
  <c r="V43" i="14"/>
  <c r="V44" i="14"/>
  <c r="V45" i="14"/>
  <c r="V46" i="14"/>
  <c r="V47" i="14"/>
  <c r="V48" i="14"/>
  <c r="V49" i="14"/>
  <c r="V54" i="14"/>
  <c r="V55" i="14"/>
  <c r="V56" i="14"/>
  <c r="V57" i="14"/>
  <c r="V58" i="14"/>
  <c r="V59" i="14"/>
  <c r="V60" i="14"/>
  <c r="V61" i="14"/>
  <c r="V62" i="14"/>
  <c r="V64" i="14"/>
  <c r="V66" i="14"/>
  <c r="V67" i="14"/>
  <c r="V69" i="14"/>
  <c r="V70" i="14"/>
  <c r="V71" i="14"/>
  <c r="V72" i="14"/>
  <c r="V73" i="14"/>
  <c r="V74" i="14"/>
  <c r="V76" i="14"/>
  <c r="V77" i="14"/>
  <c r="V78" i="14"/>
  <c r="V79" i="14"/>
  <c r="V80" i="14"/>
  <c r="V81" i="14"/>
  <c r="V82" i="14"/>
  <c r="V83" i="14"/>
  <c r="V84" i="14"/>
  <c r="V85" i="14"/>
  <c r="V86" i="14"/>
  <c r="V87" i="14"/>
  <c r="V88" i="14"/>
  <c r="V89" i="14"/>
  <c r="V90" i="14"/>
  <c r="V91" i="14"/>
  <c r="V92" i="14"/>
  <c r="V93" i="14"/>
  <c r="V94" i="14"/>
  <c r="V95" i="14"/>
  <c r="V96" i="14"/>
  <c r="V97" i="14"/>
  <c r="V98" i="14"/>
  <c r="V99" i="14"/>
  <c r="V100" i="14"/>
  <c r="V101" i="14"/>
  <c r="V102" i="14"/>
  <c r="V103" i="14"/>
  <c r="V104" i="14"/>
  <c r="V105" i="14"/>
  <c r="V107" i="14"/>
  <c r="V108" i="14"/>
  <c r="V109" i="14"/>
  <c r="V110" i="14"/>
  <c r="V111" i="14"/>
  <c r="V112" i="14"/>
  <c r="V113" i="14"/>
  <c r="V114" i="14"/>
  <c r="V115" i="14"/>
  <c r="V117" i="14"/>
  <c r="V120" i="14"/>
  <c r="V121" i="14"/>
  <c r="V122" i="14"/>
  <c r="V123" i="14"/>
  <c r="V125" i="14"/>
  <c r="V128" i="14"/>
  <c r="V129" i="14"/>
  <c r="V130" i="14"/>
  <c r="V131" i="14"/>
  <c r="V132" i="14"/>
  <c r="V133" i="14"/>
  <c r="V135" i="14"/>
  <c r="V136" i="14"/>
  <c r="V137" i="14"/>
  <c r="V138" i="14"/>
  <c r="V139" i="14"/>
  <c r="V140" i="14"/>
  <c r="V141" i="14"/>
  <c r="V142" i="14"/>
  <c r="V143" i="14"/>
  <c r="V144" i="14"/>
  <c r="V145" i="14"/>
  <c r="V146" i="14"/>
  <c r="V147" i="14"/>
  <c r="V148" i="14"/>
  <c r="V149" i="14"/>
  <c r="V150" i="14"/>
  <c r="V151" i="14"/>
  <c r="V152" i="14"/>
  <c r="V153" i="14"/>
  <c r="V155" i="14"/>
  <c r="V156" i="14"/>
  <c r="V157" i="14"/>
  <c r="V158" i="14"/>
  <c r="V159" i="14"/>
  <c r="V4" i="14"/>
  <c r="V3" i="14"/>
  <c r="E174" i="14"/>
  <c r="I172" i="15" l="1"/>
  <c r="D173" i="15"/>
  <c r="E173" i="15" s="1"/>
  <c r="F173" i="15" s="1"/>
  <c r="G173" i="15" s="1"/>
  <c r="D174" i="14"/>
  <c r="B175" i="14"/>
  <c r="C175" i="14" s="1"/>
  <c r="F174" i="14"/>
  <c r="F173" i="14"/>
  <c r="E173" i="14"/>
  <c r="D173" i="14"/>
  <c r="F179" i="14"/>
  <c r="E179" i="14"/>
  <c r="E178" i="14"/>
  <c r="D178" i="14"/>
  <c r="B180" i="14"/>
  <c r="C180" i="14" s="1"/>
  <c r="D180" i="14" l="1"/>
  <c r="E180" i="14" s="1"/>
  <c r="F180" i="14" s="1"/>
  <c r="G180" i="14" s="1"/>
  <c r="H179" i="14"/>
  <c r="H178" i="14"/>
  <c r="H174" i="14"/>
  <c r="D175" i="14"/>
  <c r="E175" i="14" s="1"/>
  <c r="F175" i="14" s="1"/>
  <c r="G175" i="14" s="1"/>
  <c r="B168" i="14"/>
  <c r="U160" i="14"/>
  <c r="T160" i="14"/>
  <c r="S160" i="14"/>
  <c r="R160" i="14"/>
  <c r="Q160" i="14"/>
  <c r="P160" i="14"/>
  <c r="O160" i="14"/>
  <c r="N160" i="14"/>
  <c r="M160" i="14"/>
  <c r="L160" i="14"/>
  <c r="K160" i="14"/>
  <c r="H160" i="14"/>
  <c r="G160" i="14"/>
  <c r="F160" i="14"/>
  <c r="E160" i="14"/>
  <c r="D160" i="14"/>
  <c r="C160" i="14"/>
  <c r="B160" i="14"/>
  <c r="J154" i="14"/>
  <c r="J160" i="14" s="1"/>
  <c r="I154" i="14"/>
  <c r="I134" i="14"/>
  <c r="V134" i="14" s="1"/>
  <c r="U126" i="14"/>
  <c r="T126" i="14"/>
  <c r="R126" i="14"/>
  <c r="Q126" i="14"/>
  <c r="P126" i="14"/>
  <c r="O126" i="14"/>
  <c r="N126" i="14"/>
  <c r="M126" i="14"/>
  <c r="L126" i="14"/>
  <c r="K126" i="14"/>
  <c r="J126" i="14"/>
  <c r="I126" i="14"/>
  <c r="H126" i="14"/>
  <c r="G126" i="14"/>
  <c r="F126" i="14"/>
  <c r="E126" i="14"/>
  <c r="D126" i="14"/>
  <c r="C126" i="14"/>
  <c r="B126" i="14"/>
  <c r="U124" i="14"/>
  <c r="T124" i="14"/>
  <c r="R124" i="14"/>
  <c r="Q124" i="14"/>
  <c r="P124" i="14"/>
  <c r="O124" i="14"/>
  <c r="N124" i="14"/>
  <c r="M124" i="14"/>
  <c r="L124" i="14"/>
  <c r="K124" i="14"/>
  <c r="J124" i="14"/>
  <c r="I124" i="14"/>
  <c r="H124" i="14"/>
  <c r="G124" i="14"/>
  <c r="F124" i="14"/>
  <c r="E124" i="14"/>
  <c r="D124" i="14"/>
  <c r="C124" i="14"/>
  <c r="B124" i="14"/>
  <c r="U119" i="14"/>
  <c r="T119" i="14"/>
  <c r="R119" i="14"/>
  <c r="Q119" i="14"/>
  <c r="P119" i="14"/>
  <c r="O119" i="14"/>
  <c r="N119" i="14"/>
  <c r="M119" i="14"/>
  <c r="L119" i="14"/>
  <c r="K119" i="14"/>
  <c r="J119" i="14"/>
  <c r="H119" i="14"/>
  <c r="G119" i="14"/>
  <c r="F119" i="14"/>
  <c r="E119" i="14"/>
  <c r="D119" i="14"/>
  <c r="C119" i="14"/>
  <c r="B119" i="14"/>
  <c r="I118" i="14"/>
  <c r="U116" i="14"/>
  <c r="T116" i="14"/>
  <c r="R116" i="14"/>
  <c r="Q116" i="14"/>
  <c r="P116" i="14"/>
  <c r="O116" i="14"/>
  <c r="N116" i="14"/>
  <c r="M116" i="14"/>
  <c r="K116" i="14"/>
  <c r="J116" i="14"/>
  <c r="I116" i="14"/>
  <c r="G116" i="14"/>
  <c r="F116" i="14"/>
  <c r="E116" i="14"/>
  <c r="D116" i="14"/>
  <c r="C116" i="14"/>
  <c r="B116" i="14"/>
  <c r="L115" i="14"/>
  <c r="L116" i="14" s="1"/>
  <c r="H115" i="14"/>
  <c r="H116" i="14" s="1"/>
  <c r="I75" i="14"/>
  <c r="V75" i="14" s="1"/>
  <c r="I68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H63" i="14"/>
  <c r="G63" i="14"/>
  <c r="F63" i="14"/>
  <c r="E63" i="14"/>
  <c r="D63" i="14"/>
  <c r="C63" i="14"/>
  <c r="B63" i="14"/>
  <c r="I53" i="14"/>
  <c r="V53" i="14" s="1"/>
  <c r="I52" i="14"/>
  <c r="I51" i="14"/>
  <c r="V51" i="14" s="1"/>
  <c r="U50" i="14"/>
  <c r="T50" i="14"/>
  <c r="R50" i="14"/>
  <c r="Q50" i="14"/>
  <c r="P50" i="14"/>
  <c r="O50" i="14"/>
  <c r="N50" i="14"/>
  <c r="M50" i="14"/>
  <c r="L50" i="14"/>
  <c r="K50" i="14"/>
  <c r="J50" i="14"/>
  <c r="H50" i="14"/>
  <c r="G50" i="14"/>
  <c r="F50" i="14"/>
  <c r="E50" i="14"/>
  <c r="D50" i="14"/>
  <c r="C50" i="14"/>
  <c r="B50" i="14"/>
  <c r="I41" i="14"/>
  <c r="V41" i="14" s="1"/>
  <c r="U35" i="14"/>
  <c r="T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B35" i="14"/>
  <c r="V154" i="14" l="1"/>
  <c r="I50" i="14"/>
  <c r="V50" i="14" s="1"/>
  <c r="V68" i="14"/>
  <c r="I106" i="14"/>
  <c r="V106" i="14" s="1"/>
  <c r="V116" i="14"/>
  <c r="V124" i="14"/>
  <c r="V126" i="14"/>
  <c r="E162" i="14"/>
  <c r="C169" i="14" s="1"/>
  <c r="S162" i="14"/>
  <c r="I63" i="14"/>
  <c r="V63" i="14" s="1"/>
  <c r="V52" i="14"/>
  <c r="I119" i="14"/>
  <c r="V119" i="14" s="1"/>
  <c r="V118" i="14"/>
  <c r="F127" i="14"/>
  <c r="I160" i="14"/>
  <c r="U162" i="14"/>
  <c r="G169" i="14" s="1"/>
  <c r="K162" i="14"/>
  <c r="V35" i="14"/>
  <c r="C127" i="14"/>
  <c r="E127" i="14"/>
  <c r="K127" i="14"/>
  <c r="B127" i="14"/>
  <c r="D162" i="14"/>
  <c r="C168" i="14" s="1"/>
  <c r="D127" i="14"/>
  <c r="F162" i="14"/>
  <c r="D165" i="14" s="1"/>
  <c r="H165" i="14" s="1"/>
  <c r="R162" i="14"/>
  <c r="G166" i="14" s="1"/>
  <c r="U127" i="14"/>
  <c r="Q162" i="14"/>
  <c r="F169" i="14" s="1"/>
  <c r="Q127" i="14"/>
  <c r="T127" i="14"/>
  <c r="T162" i="14"/>
  <c r="G168" i="14" s="1"/>
  <c r="P162" i="14"/>
  <c r="F168" i="14" s="1"/>
  <c r="P127" i="14"/>
  <c r="H173" i="14"/>
  <c r="J127" i="14"/>
  <c r="N162" i="14"/>
  <c r="E169" i="14" s="1"/>
  <c r="J162" i="14"/>
  <c r="D169" i="14" s="1"/>
  <c r="N127" i="14"/>
  <c r="G127" i="14"/>
  <c r="G162" i="14"/>
  <c r="M162" i="14"/>
  <c r="E168" i="14" s="1"/>
  <c r="M127" i="14"/>
  <c r="O162" i="14"/>
  <c r="F166" i="14" s="1"/>
  <c r="R127" i="14"/>
  <c r="O127" i="14"/>
  <c r="L162" i="14"/>
  <c r="E166" i="14" s="1"/>
  <c r="H127" i="14"/>
  <c r="L127" i="14"/>
  <c r="H162" i="14"/>
  <c r="D166" i="14" s="1"/>
  <c r="I162" i="14" l="1"/>
  <c r="D168" i="14" s="1"/>
  <c r="C170" i="14"/>
  <c r="I127" i="14"/>
  <c r="V127" i="14" s="1"/>
  <c r="V160" i="14"/>
  <c r="H166" i="14"/>
  <c r="I166" i="14" s="1"/>
  <c r="H169" i="14"/>
  <c r="I150" i="13"/>
  <c r="J150" i="13"/>
  <c r="J149" i="13"/>
  <c r="I149" i="13"/>
  <c r="J148" i="13"/>
  <c r="J147" i="13"/>
  <c r="J146" i="13"/>
  <c r="D170" i="14" l="1"/>
  <c r="E170" i="14" s="1"/>
  <c r="F170" i="14" s="1"/>
  <c r="G170" i="14" s="1"/>
  <c r="H168" i="14"/>
  <c r="I169" i="14" s="1"/>
  <c r="B177" i="13"/>
  <c r="U169" i="13"/>
  <c r="T169" i="13"/>
  <c r="S169" i="13"/>
  <c r="R169" i="13"/>
  <c r="Q169" i="13"/>
  <c r="P169" i="13"/>
  <c r="O169" i="13"/>
  <c r="N169" i="13"/>
  <c r="M169" i="13"/>
  <c r="L169" i="13"/>
  <c r="K169" i="13"/>
  <c r="H169" i="13"/>
  <c r="G169" i="13"/>
  <c r="F169" i="13"/>
  <c r="E169" i="13"/>
  <c r="D169" i="13"/>
  <c r="C169" i="13"/>
  <c r="B169" i="13"/>
  <c r="J151" i="13"/>
  <c r="J169" i="13" s="1"/>
  <c r="I151" i="13"/>
  <c r="I131" i="13"/>
  <c r="I169" i="13" s="1"/>
  <c r="U123" i="13"/>
  <c r="T123" i="13"/>
  <c r="R123" i="13"/>
  <c r="Q123" i="13"/>
  <c r="P123" i="13"/>
  <c r="O123" i="13"/>
  <c r="N123" i="13"/>
  <c r="M123" i="13"/>
  <c r="L123" i="13"/>
  <c r="K123" i="13"/>
  <c r="J123" i="13"/>
  <c r="I123" i="13"/>
  <c r="H123" i="13"/>
  <c r="G123" i="13"/>
  <c r="F123" i="13"/>
  <c r="E123" i="13"/>
  <c r="D123" i="13"/>
  <c r="C123" i="13"/>
  <c r="B123" i="13"/>
  <c r="U121" i="13"/>
  <c r="T121" i="13"/>
  <c r="R121" i="13"/>
  <c r="Q121" i="13"/>
  <c r="P121" i="13"/>
  <c r="O121" i="13"/>
  <c r="N121" i="13"/>
  <c r="M121" i="13"/>
  <c r="L121" i="13"/>
  <c r="K121" i="13"/>
  <c r="J121" i="13"/>
  <c r="I121" i="13"/>
  <c r="H121" i="13"/>
  <c r="G121" i="13"/>
  <c r="F121" i="13"/>
  <c r="E121" i="13"/>
  <c r="D121" i="13"/>
  <c r="C121" i="13"/>
  <c r="B121" i="13"/>
  <c r="U116" i="13"/>
  <c r="T116" i="13"/>
  <c r="R116" i="13"/>
  <c r="Q116" i="13"/>
  <c r="P116" i="13"/>
  <c r="O116" i="13"/>
  <c r="N116" i="13"/>
  <c r="M116" i="13"/>
  <c r="L116" i="13"/>
  <c r="K116" i="13"/>
  <c r="J116" i="13"/>
  <c r="H116" i="13"/>
  <c r="G116" i="13"/>
  <c r="F116" i="13"/>
  <c r="E116" i="13"/>
  <c r="D116" i="13"/>
  <c r="C116" i="13"/>
  <c r="B116" i="13"/>
  <c r="I115" i="13"/>
  <c r="I116" i="13" s="1"/>
  <c r="U113" i="13"/>
  <c r="T113" i="13"/>
  <c r="R113" i="13"/>
  <c r="Q113" i="13"/>
  <c r="P113" i="13"/>
  <c r="O113" i="13"/>
  <c r="N113" i="13"/>
  <c r="M113" i="13"/>
  <c r="K113" i="13"/>
  <c r="J113" i="13"/>
  <c r="I113" i="13"/>
  <c r="G113" i="13"/>
  <c r="F113" i="13"/>
  <c r="E113" i="13"/>
  <c r="D113" i="13"/>
  <c r="C113" i="13"/>
  <c r="B113" i="13"/>
  <c r="L112" i="13"/>
  <c r="L113" i="13" s="1"/>
  <c r="H112" i="13"/>
  <c r="H113" i="13" s="1"/>
  <c r="U103" i="13"/>
  <c r="T103" i="13"/>
  <c r="R103" i="13"/>
  <c r="Q103" i="13"/>
  <c r="P103" i="13"/>
  <c r="O103" i="13"/>
  <c r="N103" i="13"/>
  <c r="M103" i="13"/>
  <c r="L103" i="13"/>
  <c r="K103" i="13"/>
  <c r="J103" i="13"/>
  <c r="H103" i="13"/>
  <c r="G103" i="13"/>
  <c r="F103" i="13"/>
  <c r="E103" i="13"/>
  <c r="D103" i="13"/>
  <c r="C103" i="13"/>
  <c r="B103" i="13"/>
  <c r="I73" i="13"/>
  <c r="I66" i="13"/>
  <c r="I65" i="13"/>
  <c r="I64" i="13"/>
  <c r="U62" i="13"/>
  <c r="T62" i="13"/>
  <c r="S62" i="13"/>
  <c r="R62" i="13"/>
  <c r="Q62" i="13"/>
  <c r="P62" i="13"/>
  <c r="O62" i="13"/>
  <c r="N62" i="13"/>
  <c r="M62" i="13"/>
  <c r="L62" i="13"/>
  <c r="K62" i="13"/>
  <c r="J62" i="13"/>
  <c r="H62" i="13"/>
  <c r="G62" i="13"/>
  <c r="F62" i="13"/>
  <c r="E62" i="13"/>
  <c r="D62" i="13"/>
  <c r="C62" i="13"/>
  <c r="B62" i="13"/>
  <c r="I52" i="13"/>
  <c r="I51" i="13"/>
  <c r="I50" i="13"/>
  <c r="U49" i="13"/>
  <c r="T49" i="13"/>
  <c r="R49" i="13"/>
  <c r="Q49" i="13"/>
  <c r="P49" i="13"/>
  <c r="O49" i="13"/>
  <c r="N49" i="13"/>
  <c r="M49" i="13"/>
  <c r="L49" i="13"/>
  <c r="K49" i="13"/>
  <c r="J49" i="13"/>
  <c r="H49" i="13"/>
  <c r="G49" i="13"/>
  <c r="F49" i="13"/>
  <c r="E49" i="13"/>
  <c r="D49" i="13"/>
  <c r="C49" i="13"/>
  <c r="B49" i="13"/>
  <c r="I43" i="13"/>
  <c r="I40" i="13"/>
  <c r="I36" i="13"/>
  <c r="I49" i="13" s="1"/>
  <c r="U34" i="13"/>
  <c r="T34" i="13"/>
  <c r="R34" i="13"/>
  <c r="Q34" i="13"/>
  <c r="P34" i="13"/>
  <c r="O34" i="13"/>
  <c r="N34" i="13"/>
  <c r="M34" i="13"/>
  <c r="L34" i="13"/>
  <c r="K34" i="13"/>
  <c r="J34" i="13"/>
  <c r="H34" i="13"/>
  <c r="G34" i="13"/>
  <c r="F34" i="13"/>
  <c r="E34" i="13"/>
  <c r="D34" i="13"/>
  <c r="C34" i="13"/>
  <c r="B34" i="13"/>
  <c r="I12" i="13"/>
  <c r="I34" i="13" s="1"/>
  <c r="L169" i="12"/>
  <c r="B177" i="12"/>
  <c r="U169" i="12"/>
  <c r="T169" i="12"/>
  <c r="S169" i="12"/>
  <c r="R169" i="12"/>
  <c r="Q169" i="12"/>
  <c r="P169" i="12"/>
  <c r="O169" i="12"/>
  <c r="N169" i="12"/>
  <c r="M169" i="12"/>
  <c r="K169" i="12"/>
  <c r="H169" i="12"/>
  <c r="G169" i="12"/>
  <c r="F169" i="12"/>
  <c r="E169" i="12"/>
  <c r="D169" i="12"/>
  <c r="C169" i="12"/>
  <c r="B169" i="12"/>
  <c r="J151" i="12"/>
  <c r="J169" i="12" s="1"/>
  <c r="I151" i="12"/>
  <c r="I131" i="12"/>
  <c r="U123" i="12"/>
  <c r="T123" i="12"/>
  <c r="R123" i="12"/>
  <c r="Q123" i="12"/>
  <c r="P123" i="12"/>
  <c r="O123" i="12"/>
  <c r="N123" i="12"/>
  <c r="M123" i="12"/>
  <c r="L123" i="12"/>
  <c r="K123" i="12"/>
  <c r="J123" i="12"/>
  <c r="I123" i="12"/>
  <c r="H123" i="12"/>
  <c r="G123" i="12"/>
  <c r="F123" i="12"/>
  <c r="E123" i="12"/>
  <c r="D123" i="12"/>
  <c r="C123" i="12"/>
  <c r="B123" i="12"/>
  <c r="U121" i="12"/>
  <c r="T121" i="12"/>
  <c r="R121" i="12"/>
  <c r="Q121" i="12"/>
  <c r="P121" i="12"/>
  <c r="O121" i="12"/>
  <c r="N121" i="12"/>
  <c r="M121" i="12"/>
  <c r="L121" i="12"/>
  <c r="K121" i="12"/>
  <c r="J121" i="12"/>
  <c r="I121" i="12"/>
  <c r="H121" i="12"/>
  <c r="G121" i="12"/>
  <c r="F121" i="12"/>
  <c r="E121" i="12"/>
  <c r="D121" i="12"/>
  <c r="C121" i="12"/>
  <c r="B121" i="12"/>
  <c r="U116" i="12"/>
  <c r="T116" i="12"/>
  <c r="R116" i="12"/>
  <c r="Q116" i="12"/>
  <c r="P116" i="12"/>
  <c r="O116" i="12"/>
  <c r="N116" i="12"/>
  <c r="M116" i="12"/>
  <c r="L116" i="12"/>
  <c r="K116" i="12"/>
  <c r="J116" i="12"/>
  <c r="H116" i="12"/>
  <c r="G116" i="12"/>
  <c r="F116" i="12"/>
  <c r="E116" i="12"/>
  <c r="D116" i="12"/>
  <c r="C116" i="12"/>
  <c r="B116" i="12"/>
  <c r="I115" i="12"/>
  <c r="I116" i="12" s="1"/>
  <c r="U113" i="12"/>
  <c r="T113" i="12"/>
  <c r="R113" i="12"/>
  <c r="Q113" i="12"/>
  <c r="P113" i="12"/>
  <c r="O113" i="12"/>
  <c r="N113" i="12"/>
  <c r="M113" i="12"/>
  <c r="K113" i="12"/>
  <c r="J113" i="12"/>
  <c r="I113" i="12"/>
  <c r="G113" i="12"/>
  <c r="F113" i="12"/>
  <c r="E113" i="12"/>
  <c r="D113" i="12"/>
  <c r="C113" i="12"/>
  <c r="B113" i="12"/>
  <c r="L112" i="12"/>
  <c r="L113" i="12" s="1"/>
  <c r="H112" i="12"/>
  <c r="H113" i="12" s="1"/>
  <c r="U103" i="12"/>
  <c r="T103" i="12"/>
  <c r="R103" i="12"/>
  <c r="Q103" i="12"/>
  <c r="P103" i="12"/>
  <c r="O103" i="12"/>
  <c r="N103" i="12"/>
  <c r="M103" i="12"/>
  <c r="L103" i="12"/>
  <c r="K103" i="12"/>
  <c r="J103" i="12"/>
  <c r="H103" i="12"/>
  <c r="G103" i="12"/>
  <c r="F103" i="12"/>
  <c r="E103" i="12"/>
  <c r="D103" i="12"/>
  <c r="C103" i="12"/>
  <c r="B103" i="12"/>
  <c r="I73" i="12"/>
  <c r="I66" i="12"/>
  <c r="I65" i="12"/>
  <c r="I64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H62" i="12"/>
  <c r="G62" i="12"/>
  <c r="F62" i="12"/>
  <c r="E62" i="12"/>
  <c r="D62" i="12"/>
  <c r="C62" i="12"/>
  <c r="B62" i="12"/>
  <c r="I52" i="12"/>
  <c r="I51" i="12"/>
  <c r="I50" i="12"/>
  <c r="U49" i="12"/>
  <c r="T49" i="12"/>
  <c r="R49" i="12"/>
  <c r="Q49" i="12"/>
  <c r="P49" i="12"/>
  <c r="O49" i="12"/>
  <c r="N49" i="12"/>
  <c r="M49" i="12"/>
  <c r="L49" i="12"/>
  <c r="K49" i="12"/>
  <c r="J49" i="12"/>
  <c r="H49" i="12"/>
  <c r="G49" i="12"/>
  <c r="F49" i="12"/>
  <c r="E49" i="12"/>
  <c r="D49" i="12"/>
  <c r="C49" i="12"/>
  <c r="B49" i="12"/>
  <c r="I43" i="12"/>
  <c r="I40" i="12"/>
  <c r="I49" i="12" s="1"/>
  <c r="I36" i="12"/>
  <c r="U34" i="12"/>
  <c r="T34" i="12"/>
  <c r="R34" i="12"/>
  <c r="Q34" i="12"/>
  <c r="P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B34" i="12"/>
  <c r="I12" i="12"/>
  <c r="I34" i="12" s="1"/>
  <c r="E169" i="11"/>
  <c r="F169" i="11"/>
  <c r="G169" i="11"/>
  <c r="H169" i="11"/>
  <c r="K169" i="11"/>
  <c r="L169" i="11"/>
  <c r="M169" i="11"/>
  <c r="N169" i="11"/>
  <c r="O169" i="11"/>
  <c r="P169" i="11"/>
  <c r="Q169" i="11"/>
  <c r="R169" i="11"/>
  <c r="S169" i="11"/>
  <c r="T169" i="11"/>
  <c r="U169" i="11"/>
  <c r="D169" i="11"/>
  <c r="B177" i="11"/>
  <c r="C169" i="11"/>
  <c r="B169" i="11"/>
  <c r="J151" i="11"/>
  <c r="J169" i="11" s="1"/>
  <c r="I151" i="11"/>
  <c r="I131" i="11"/>
  <c r="U123" i="11"/>
  <c r="T123" i="11"/>
  <c r="R123" i="11"/>
  <c r="Q123" i="11"/>
  <c r="P123" i="11"/>
  <c r="O123" i="11"/>
  <c r="N123" i="11"/>
  <c r="M123" i="11"/>
  <c r="L123" i="11"/>
  <c r="K123" i="11"/>
  <c r="J123" i="11"/>
  <c r="I123" i="11"/>
  <c r="H123" i="11"/>
  <c r="G123" i="11"/>
  <c r="F123" i="11"/>
  <c r="E123" i="11"/>
  <c r="D123" i="11"/>
  <c r="C123" i="11"/>
  <c r="B123" i="11"/>
  <c r="U121" i="11"/>
  <c r="T121" i="11"/>
  <c r="R121" i="11"/>
  <c r="Q121" i="11"/>
  <c r="P121" i="11"/>
  <c r="O121" i="11"/>
  <c r="N121" i="11"/>
  <c r="M121" i="11"/>
  <c r="L121" i="11"/>
  <c r="K121" i="11"/>
  <c r="J121" i="11"/>
  <c r="I121" i="11"/>
  <c r="H121" i="11"/>
  <c r="G121" i="11"/>
  <c r="F121" i="11"/>
  <c r="E121" i="11"/>
  <c r="D121" i="11"/>
  <c r="C121" i="11"/>
  <c r="B121" i="11"/>
  <c r="U116" i="11"/>
  <c r="T116" i="11"/>
  <c r="R116" i="11"/>
  <c r="Q116" i="11"/>
  <c r="P116" i="11"/>
  <c r="O116" i="11"/>
  <c r="N116" i="11"/>
  <c r="M116" i="11"/>
  <c r="L116" i="11"/>
  <c r="K116" i="11"/>
  <c r="J116" i="11"/>
  <c r="H116" i="11"/>
  <c r="G116" i="11"/>
  <c r="F116" i="11"/>
  <c r="E116" i="11"/>
  <c r="D116" i="11"/>
  <c r="C116" i="11"/>
  <c r="B116" i="11"/>
  <c r="I115" i="11"/>
  <c r="I116" i="11" s="1"/>
  <c r="U113" i="11"/>
  <c r="T113" i="11"/>
  <c r="R113" i="11"/>
  <c r="Q113" i="11"/>
  <c r="P113" i="11"/>
  <c r="O113" i="11"/>
  <c r="N113" i="11"/>
  <c r="M113" i="11"/>
  <c r="K113" i="11"/>
  <c r="J113" i="11"/>
  <c r="I113" i="11"/>
  <c r="G113" i="11"/>
  <c r="F113" i="11"/>
  <c r="E113" i="11"/>
  <c r="D113" i="11"/>
  <c r="C113" i="11"/>
  <c r="B113" i="11"/>
  <c r="L112" i="11"/>
  <c r="L113" i="11" s="1"/>
  <c r="H112" i="11"/>
  <c r="H113" i="11" s="1"/>
  <c r="U103" i="11"/>
  <c r="T103" i="11"/>
  <c r="R103" i="11"/>
  <c r="Q103" i="11"/>
  <c r="P103" i="11"/>
  <c r="O103" i="11"/>
  <c r="N103" i="11"/>
  <c r="M103" i="11"/>
  <c r="L103" i="11"/>
  <c r="K103" i="11"/>
  <c r="J103" i="11"/>
  <c r="H103" i="11"/>
  <c r="G103" i="11"/>
  <c r="F103" i="11"/>
  <c r="E103" i="11"/>
  <c r="D103" i="11"/>
  <c r="C103" i="11"/>
  <c r="B103" i="11"/>
  <c r="I73" i="11"/>
  <c r="I66" i="11"/>
  <c r="I65" i="11"/>
  <c r="I64" i="11"/>
  <c r="U62" i="11"/>
  <c r="T62" i="11"/>
  <c r="S62" i="11"/>
  <c r="S171" i="11" s="1"/>
  <c r="R62" i="11"/>
  <c r="Q62" i="11"/>
  <c r="P62" i="11"/>
  <c r="O62" i="11"/>
  <c r="N62" i="11"/>
  <c r="M62" i="11"/>
  <c r="L62" i="11"/>
  <c r="K62" i="11"/>
  <c r="J62" i="11"/>
  <c r="H62" i="11"/>
  <c r="G62" i="11"/>
  <c r="F62" i="11"/>
  <c r="E62" i="11"/>
  <c r="D62" i="11"/>
  <c r="C62" i="11"/>
  <c r="B62" i="11"/>
  <c r="I52" i="11"/>
  <c r="I51" i="11"/>
  <c r="I50" i="11"/>
  <c r="U49" i="11"/>
  <c r="T49" i="11"/>
  <c r="R49" i="11"/>
  <c r="Q49" i="11"/>
  <c r="P49" i="11"/>
  <c r="O49" i="11"/>
  <c r="N49" i="11"/>
  <c r="M49" i="11"/>
  <c r="L49" i="11"/>
  <c r="K49" i="11"/>
  <c r="J49" i="11"/>
  <c r="H49" i="11"/>
  <c r="G49" i="11"/>
  <c r="F49" i="11"/>
  <c r="E49" i="11"/>
  <c r="D49" i="11"/>
  <c r="C49" i="11"/>
  <c r="B49" i="11"/>
  <c r="I43" i="11"/>
  <c r="I40" i="11"/>
  <c r="I36" i="11"/>
  <c r="U34" i="11"/>
  <c r="T34" i="11"/>
  <c r="R34" i="11"/>
  <c r="Q34" i="11"/>
  <c r="P34" i="11"/>
  <c r="O34" i="11"/>
  <c r="N34" i="11"/>
  <c r="M34" i="11"/>
  <c r="L34" i="11"/>
  <c r="K34" i="11"/>
  <c r="J34" i="11"/>
  <c r="H34" i="11"/>
  <c r="G34" i="11"/>
  <c r="F34" i="11"/>
  <c r="E34" i="11"/>
  <c r="D34" i="11"/>
  <c r="C34" i="11"/>
  <c r="B34" i="11"/>
  <c r="I12" i="11"/>
  <c r="I34" i="11" s="1"/>
  <c r="J171" i="11" l="1"/>
  <c r="D178" i="11" s="1"/>
  <c r="K124" i="12"/>
  <c r="O124" i="12"/>
  <c r="J171" i="12"/>
  <c r="D178" i="12" s="1"/>
  <c r="I62" i="12"/>
  <c r="L171" i="11"/>
  <c r="E175" i="11" s="1"/>
  <c r="M171" i="11"/>
  <c r="E177" i="11" s="1"/>
  <c r="I169" i="11"/>
  <c r="O124" i="13"/>
  <c r="I49" i="11"/>
  <c r="P171" i="11"/>
  <c r="F177" i="11" s="1"/>
  <c r="S171" i="12"/>
  <c r="C124" i="13"/>
  <c r="Q124" i="11"/>
  <c r="H171" i="11"/>
  <c r="D175" i="11" s="1"/>
  <c r="C124" i="12"/>
  <c r="G124" i="12"/>
  <c r="T171" i="12"/>
  <c r="G177" i="12" s="1"/>
  <c r="M124" i="13"/>
  <c r="U171" i="13"/>
  <c r="G178" i="13" s="1"/>
  <c r="I103" i="11"/>
  <c r="B124" i="11"/>
  <c r="F124" i="11"/>
  <c r="J124" i="11"/>
  <c r="N124" i="11"/>
  <c r="R124" i="11"/>
  <c r="F171" i="11"/>
  <c r="D174" i="11" s="1"/>
  <c r="H174" i="11" s="1"/>
  <c r="O171" i="11"/>
  <c r="F175" i="11" s="1"/>
  <c r="K171" i="11"/>
  <c r="R124" i="12"/>
  <c r="L124" i="12"/>
  <c r="D124" i="12"/>
  <c r="H124" i="12"/>
  <c r="P124" i="12"/>
  <c r="U124" i="12"/>
  <c r="F171" i="12"/>
  <c r="D174" i="12" s="1"/>
  <c r="H174" i="12" s="1"/>
  <c r="K171" i="12"/>
  <c r="P171" i="12"/>
  <c r="F177" i="12" s="1"/>
  <c r="I103" i="13"/>
  <c r="B124" i="13"/>
  <c r="F124" i="13"/>
  <c r="J124" i="13"/>
  <c r="N124" i="13"/>
  <c r="R124" i="13"/>
  <c r="D171" i="13"/>
  <c r="C177" i="13" s="1"/>
  <c r="H171" i="13"/>
  <c r="D175" i="13" s="1"/>
  <c r="D176" i="13" s="1"/>
  <c r="N171" i="13"/>
  <c r="E178" i="13" s="1"/>
  <c r="R171" i="13"/>
  <c r="G175" i="13" s="1"/>
  <c r="E124" i="11"/>
  <c r="E171" i="12"/>
  <c r="C178" i="12" s="1"/>
  <c r="L171" i="12"/>
  <c r="E175" i="12" s="1"/>
  <c r="E124" i="13"/>
  <c r="G171" i="13"/>
  <c r="M171" i="13"/>
  <c r="E177" i="13" s="1"/>
  <c r="C124" i="11"/>
  <c r="G124" i="11"/>
  <c r="K124" i="11"/>
  <c r="O124" i="11"/>
  <c r="T124" i="11"/>
  <c r="G171" i="11"/>
  <c r="D171" i="11"/>
  <c r="C177" i="11" s="1"/>
  <c r="N171" i="11"/>
  <c r="E178" i="11" s="1"/>
  <c r="F124" i="12"/>
  <c r="I103" i="12"/>
  <c r="E124" i="12"/>
  <c r="M124" i="12"/>
  <c r="Q124" i="12"/>
  <c r="I169" i="12"/>
  <c r="G171" i="12"/>
  <c r="M171" i="12"/>
  <c r="E177" i="12" s="1"/>
  <c r="Q171" i="12"/>
  <c r="F178" i="12" s="1"/>
  <c r="U171" i="12"/>
  <c r="G178" i="12" s="1"/>
  <c r="I62" i="13"/>
  <c r="G124" i="13"/>
  <c r="K124" i="13"/>
  <c r="T124" i="13"/>
  <c r="J171" i="13"/>
  <c r="D178" i="13" s="1"/>
  <c r="E171" i="13"/>
  <c r="C178" i="13" s="1"/>
  <c r="K171" i="13"/>
  <c r="O171" i="13"/>
  <c r="F175" i="13" s="1"/>
  <c r="S171" i="13"/>
  <c r="M124" i="11"/>
  <c r="T171" i="11"/>
  <c r="G177" i="11" s="1"/>
  <c r="O171" i="12"/>
  <c r="F175" i="12" s="1"/>
  <c r="Q124" i="13"/>
  <c r="Q171" i="13"/>
  <c r="F178" i="13" s="1"/>
  <c r="I62" i="11"/>
  <c r="D124" i="11"/>
  <c r="H124" i="11"/>
  <c r="P124" i="11"/>
  <c r="U124" i="11"/>
  <c r="R171" i="11"/>
  <c r="G175" i="11" s="1"/>
  <c r="U171" i="11"/>
  <c r="G178" i="11" s="1"/>
  <c r="Q171" i="11"/>
  <c r="F178" i="11" s="1"/>
  <c r="E171" i="11"/>
  <c r="C178" i="11" s="1"/>
  <c r="H178" i="11" s="1"/>
  <c r="B124" i="12"/>
  <c r="J124" i="12"/>
  <c r="N124" i="12"/>
  <c r="D171" i="12"/>
  <c r="C177" i="12" s="1"/>
  <c r="C179" i="12" s="1"/>
  <c r="H171" i="12"/>
  <c r="D175" i="12" s="1"/>
  <c r="N171" i="12"/>
  <c r="E178" i="12" s="1"/>
  <c r="H178" i="12" s="1"/>
  <c r="R171" i="12"/>
  <c r="G175" i="12" s="1"/>
  <c r="D124" i="13"/>
  <c r="H124" i="13"/>
  <c r="L124" i="13"/>
  <c r="P124" i="13"/>
  <c r="U124" i="13"/>
  <c r="F171" i="13"/>
  <c r="D174" i="13" s="1"/>
  <c r="H174" i="13" s="1"/>
  <c r="L171" i="13"/>
  <c r="E175" i="13" s="1"/>
  <c r="H175" i="13" s="1"/>
  <c r="I175" i="13" s="1"/>
  <c r="P171" i="13"/>
  <c r="F177" i="13" s="1"/>
  <c r="T171" i="13"/>
  <c r="G177" i="13" s="1"/>
  <c r="E176" i="13"/>
  <c r="F176" i="13" s="1"/>
  <c r="G176" i="13" s="1"/>
  <c r="I124" i="13"/>
  <c r="H175" i="12"/>
  <c r="I175" i="12" s="1"/>
  <c r="I124" i="12"/>
  <c r="I171" i="12"/>
  <c r="T124" i="12"/>
  <c r="L124" i="11"/>
  <c r="H175" i="11"/>
  <c r="I175" i="11" s="1"/>
  <c r="I171" i="11"/>
  <c r="D177" i="11" s="1"/>
  <c r="H177" i="11" s="1"/>
  <c r="E176" i="12" l="1"/>
  <c r="F176" i="12" s="1"/>
  <c r="G176" i="12" s="1"/>
  <c r="I171" i="13"/>
  <c r="D177" i="13" s="1"/>
  <c r="C179" i="11"/>
  <c r="D179" i="11" s="1"/>
  <c r="E179" i="11" s="1"/>
  <c r="F179" i="11" s="1"/>
  <c r="G179" i="11" s="1"/>
  <c r="C179" i="13"/>
  <c r="I124" i="11"/>
  <c r="I178" i="11"/>
  <c r="D177" i="12"/>
  <c r="H177" i="12" s="1"/>
  <c r="I178" i="12" s="1"/>
  <c r="H178" i="13"/>
  <c r="H177" i="13"/>
  <c r="I178" i="13" s="1"/>
  <c r="D179" i="13" l="1"/>
  <c r="E179" i="13" s="1"/>
  <c r="F179" i="13" s="1"/>
  <c r="G179" i="13" s="1"/>
  <c r="D179" i="12"/>
  <c r="E179" i="12" s="1"/>
  <c r="F179" i="12" s="1"/>
  <c r="G179" i="12" s="1"/>
  <c r="D157" i="7"/>
  <c r="Q157" i="7"/>
  <c r="C157" i="7" l="1"/>
  <c r="E157" i="7"/>
  <c r="F157" i="7"/>
  <c r="G157" i="7"/>
  <c r="H157" i="7"/>
  <c r="K157" i="7"/>
  <c r="L157" i="7"/>
  <c r="M157" i="7"/>
  <c r="N157" i="7"/>
  <c r="O157" i="7"/>
  <c r="P157" i="7"/>
  <c r="R157" i="7"/>
  <c r="S157" i="7"/>
  <c r="T157" i="7"/>
  <c r="U157" i="7"/>
  <c r="B157" i="7"/>
  <c r="N155" i="8" l="1"/>
  <c r="C155" i="8" l="1"/>
  <c r="D155" i="8"/>
  <c r="E155" i="8"/>
  <c r="F155" i="8"/>
  <c r="G155" i="8"/>
  <c r="H155" i="8"/>
  <c r="K155" i="8"/>
  <c r="L155" i="8"/>
  <c r="M155" i="8"/>
  <c r="O155" i="8"/>
  <c r="P155" i="8"/>
  <c r="Q155" i="8"/>
  <c r="R155" i="8"/>
  <c r="S155" i="8"/>
  <c r="T155" i="8"/>
  <c r="U155" i="8"/>
  <c r="B155" i="8"/>
  <c r="B163" i="8"/>
  <c r="J149" i="8"/>
  <c r="J155" i="8" s="1"/>
  <c r="I149" i="8"/>
  <c r="I129" i="8"/>
  <c r="I155" i="8" s="1"/>
  <c r="U121" i="8"/>
  <c r="T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G157" i="8" s="1"/>
  <c r="F121" i="8"/>
  <c r="E121" i="8"/>
  <c r="D121" i="8"/>
  <c r="C121" i="8"/>
  <c r="B121" i="8"/>
  <c r="U119" i="8"/>
  <c r="T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U114" i="8"/>
  <c r="T114" i="8"/>
  <c r="R114" i="8"/>
  <c r="Q114" i="8"/>
  <c r="P114" i="8"/>
  <c r="O114" i="8"/>
  <c r="N114" i="8"/>
  <c r="M114" i="8"/>
  <c r="L114" i="8"/>
  <c r="K114" i="8"/>
  <c r="J114" i="8"/>
  <c r="H114" i="8"/>
  <c r="G114" i="8"/>
  <c r="F114" i="8"/>
  <c r="E114" i="8"/>
  <c r="D114" i="8"/>
  <c r="C114" i="8"/>
  <c r="B114" i="8"/>
  <c r="I113" i="8"/>
  <c r="I114" i="8" s="1"/>
  <c r="U111" i="8"/>
  <c r="T111" i="8"/>
  <c r="R111" i="8"/>
  <c r="Q111" i="8"/>
  <c r="P111" i="8"/>
  <c r="O111" i="8"/>
  <c r="N111" i="8"/>
  <c r="M111" i="8"/>
  <c r="K111" i="8"/>
  <c r="J111" i="8"/>
  <c r="I111" i="8"/>
  <c r="G111" i="8"/>
  <c r="F111" i="8"/>
  <c r="E111" i="8"/>
  <c r="D111" i="8"/>
  <c r="C111" i="8"/>
  <c r="B111" i="8"/>
  <c r="L110" i="8"/>
  <c r="L111" i="8" s="1"/>
  <c r="H110" i="8"/>
  <c r="H111" i="8" s="1"/>
  <c r="U103" i="8"/>
  <c r="T103" i="8"/>
  <c r="R103" i="8"/>
  <c r="Q103" i="8"/>
  <c r="P103" i="8"/>
  <c r="O103" i="8"/>
  <c r="N103" i="8"/>
  <c r="M103" i="8"/>
  <c r="L103" i="8"/>
  <c r="K103" i="8"/>
  <c r="J103" i="8"/>
  <c r="H103" i="8"/>
  <c r="G103" i="8"/>
  <c r="F103" i="8"/>
  <c r="E103" i="8"/>
  <c r="D103" i="8"/>
  <c r="C103" i="8"/>
  <c r="B103" i="8"/>
  <c r="I73" i="8"/>
  <c r="I66" i="8"/>
  <c r="I65" i="8"/>
  <c r="I64" i="8"/>
  <c r="U62" i="8"/>
  <c r="T62" i="8"/>
  <c r="S62" i="8"/>
  <c r="S157" i="8" s="1"/>
  <c r="R62" i="8"/>
  <c r="Q62" i="8"/>
  <c r="P62" i="8"/>
  <c r="O62" i="8"/>
  <c r="N62" i="8"/>
  <c r="M62" i="8"/>
  <c r="K62" i="8"/>
  <c r="J62" i="8"/>
  <c r="G62" i="8"/>
  <c r="F62" i="8"/>
  <c r="E62" i="8"/>
  <c r="D62" i="8"/>
  <c r="C62" i="8"/>
  <c r="B62" i="8"/>
  <c r="L58" i="8"/>
  <c r="L62" i="8" s="1"/>
  <c r="H58" i="8"/>
  <c r="H62" i="8" s="1"/>
  <c r="I52" i="8"/>
  <c r="I51" i="8"/>
  <c r="I50" i="8"/>
  <c r="U49" i="8"/>
  <c r="T49" i="8"/>
  <c r="R49" i="8"/>
  <c r="Q49" i="8"/>
  <c r="P49" i="8"/>
  <c r="O49" i="8"/>
  <c r="N49" i="8"/>
  <c r="M49" i="8"/>
  <c r="L49" i="8"/>
  <c r="K49" i="8"/>
  <c r="H49" i="8"/>
  <c r="G49" i="8"/>
  <c r="F49" i="8"/>
  <c r="E49" i="8"/>
  <c r="D49" i="8"/>
  <c r="C49" i="8"/>
  <c r="B49" i="8"/>
  <c r="I43" i="8"/>
  <c r="I40" i="8"/>
  <c r="I36" i="8"/>
  <c r="J35" i="8"/>
  <c r="J49" i="8" s="1"/>
  <c r="U34" i="8"/>
  <c r="T34" i="8"/>
  <c r="R34" i="8"/>
  <c r="Q34" i="8"/>
  <c r="P34" i="8"/>
  <c r="O34" i="8"/>
  <c r="N34" i="8"/>
  <c r="M34" i="8"/>
  <c r="L34" i="8"/>
  <c r="K34" i="8"/>
  <c r="J34" i="8"/>
  <c r="H34" i="8"/>
  <c r="G34" i="8"/>
  <c r="F34" i="8"/>
  <c r="E34" i="8"/>
  <c r="D34" i="8"/>
  <c r="C34" i="8"/>
  <c r="B34" i="8"/>
  <c r="B122" i="8" s="1"/>
  <c r="I12" i="8"/>
  <c r="I34" i="8" s="1"/>
  <c r="B165" i="7"/>
  <c r="J151" i="7"/>
  <c r="J157" i="7" s="1"/>
  <c r="I151" i="7"/>
  <c r="I131" i="7"/>
  <c r="U123" i="7"/>
  <c r="T123" i="7"/>
  <c r="R123" i="7"/>
  <c r="Q123" i="7"/>
  <c r="P123" i="7"/>
  <c r="O123" i="7"/>
  <c r="N123" i="7"/>
  <c r="M123" i="7"/>
  <c r="L123" i="7"/>
  <c r="K123" i="7"/>
  <c r="J123" i="7"/>
  <c r="I123" i="7"/>
  <c r="H123" i="7"/>
  <c r="G123" i="7"/>
  <c r="F123" i="7"/>
  <c r="E123" i="7"/>
  <c r="D123" i="7"/>
  <c r="C123" i="7"/>
  <c r="B123" i="7"/>
  <c r="U121" i="7"/>
  <c r="T121" i="7"/>
  <c r="R121" i="7"/>
  <c r="Q121" i="7"/>
  <c r="P121" i="7"/>
  <c r="O121" i="7"/>
  <c r="N121" i="7"/>
  <c r="M121" i="7"/>
  <c r="L121" i="7"/>
  <c r="K121" i="7"/>
  <c r="J121" i="7"/>
  <c r="I121" i="7"/>
  <c r="H121" i="7"/>
  <c r="G121" i="7"/>
  <c r="F121" i="7"/>
  <c r="E121" i="7"/>
  <c r="D121" i="7"/>
  <c r="C121" i="7"/>
  <c r="B121" i="7"/>
  <c r="U116" i="7"/>
  <c r="T116" i="7"/>
  <c r="R116" i="7"/>
  <c r="Q116" i="7"/>
  <c r="P116" i="7"/>
  <c r="O116" i="7"/>
  <c r="N116" i="7"/>
  <c r="M116" i="7"/>
  <c r="L116" i="7"/>
  <c r="K116" i="7"/>
  <c r="J116" i="7"/>
  <c r="H116" i="7"/>
  <c r="G116" i="7"/>
  <c r="F116" i="7"/>
  <c r="E116" i="7"/>
  <c r="D116" i="7"/>
  <c r="C116" i="7"/>
  <c r="B116" i="7"/>
  <c r="I115" i="7"/>
  <c r="I116" i="7" s="1"/>
  <c r="U113" i="7"/>
  <c r="T113" i="7"/>
  <c r="R113" i="7"/>
  <c r="Q113" i="7"/>
  <c r="P113" i="7"/>
  <c r="O113" i="7"/>
  <c r="N113" i="7"/>
  <c r="M113" i="7"/>
  <c r="K113" i="7"/>
  <c r="J113" i="7"/>
  <c r="I113" i="7"/>
  <c r="G113" i="7"/>
  <c r="F113" i="7"/>
  <c r="E113" i="7"/>
  <c r="D113" i="7"/>
  <c r="C113" i="7"/>
  <c r="B113" i="7"/>
  <c r="L112" i="7"/>
  <c r="L113" i="7" s="1"/>
  <c r="H112" i="7"/>
  <c r="H113" i="7" s="1"/>
  <c r="U103" i="7"/>
  <c r="T103" i="7"/>
  <c r="R103" i="7"/>
  <c r="Q103" i="7"/>
  <c r="P103" i="7"/>
  <c r="O103" i="7"/>
  <c r="N103" i="7"/>
  <c r="M103" i="7"/>
  <c r="L103" i="7"/>
  <c r="K103" i="7"/>
  <c r="J103" i="7"/>
  <c r="H103" i="7"/>
  <c r="G103" i="7"/>
  <c r="F103" i="7"/>
  <c r="E103" i="7"/>
  <c r="D103" i="7"/>
  <c r="C103" i="7"/>
  <c r="B103" i="7"/>
  <c r="I73" i="7"/>
  <c r="I66" i="7"/>
  <c r="I65" i="7"/>
  <c r="I64" i="7"/>
  <c r="U62" i="7"/>
  <c r="T62" i="7"/>
  <c r="S62" i="7"/>
  <c r="S159" i="7" s="1"/>
  <c r="R62" i="7"/>
  <c r="Q62" i="7"/>
  <c r="P62" i="7"/>
  <c r="O62" i="7"/>
  <c r="N62" i="7"/>
  <c r="M62" i="7"/>
  <c r="L62" i="7"/>
  <c r="K62" i="7"/>
  <c r="J62" i="7"/>
  <c r="G62" i="7"/>
  <c r="F62" i="7"/>
  <c r="E62" i="7"/>
  <c r="D62" i="7"/>
  <c r="C62" i="7"/>
  <c r="B62" i="7"/>
  <c r="H62" i="7"/>
  <c r="I52" i="7"/>
  <c r="I51" i="7"/>
  <c r="I50" i="7"/>
  <c r="I62" i="7" s="1"/>
  <c r="U49" i="7"/>
  <c r="T49" i="7"/>
  <c r="R49" i="7"/>
  <c r="Q49" i="7"/>
  <c r="P49" i="7"/>
  <c r="O49" i="7"/>
  <c r="N49" i="7"/>
  <c r="M49" i="7"/>
  <c r="L49" i="7"/>
  <c r="K49" i="7"/>
  <c r="H49" i="7"/>
  <c r="G49" i="7"/>
  <c r="F49" i="7"/>
  <c r="E49" i="7"/>
  <c r="D49" i="7"/>
  <c r="C49" i="7"/>
  <c r="B49" i="7"/>
  <c r="I43" i="7"/>
  <c r="I40" i="7"/>
  <c r="I36" i="7"/>
  <c r="I49" i="7" s="1"/>
  <c r="J49" i="7"/>
  <c r="U34" i="7"/>
  <c r="T34" i="7"/>
  <c r="R34" i="7"/>
  <c r="Q34" i="7"/>
  <c r="P34" i="7"/>
  <c r="O34" i="7"/>
  <c r="N34" i="7"/>
  <c r="M34" i="7"/>
  <c r="L34" i="7"/>
  <c r="K34" i="7"/>
  <c r="J34" i="7"/>
  <c r="H34" i="7"/>
  <c r="G34" i="7"/>
  <c r="F34" i="7"/>
  <c r="E34" i="7"/>
  <c r="D34" i="7"/>
  <c r="C34" i="7"/>
  <c r="B34" i="7"/>
  <c r="I12" i="7"/>
  <c r="I34" i="7" s="1"/>
  <c r="Q159" i="7" l="1"/>
  <c r="F166" i="7" s="1"/>
  <c r="I157" i="7"/>
  <c r="L157" i="8"/>
  <c r="E161" i="8" s="1"/>
  <c r="T157" i="8"/>
  <c r="G163" i="8" s="1"/>
  <c r="K157" i="8"/>
  <c r="P157" i="8"/>
  <c r="F163" i="8" s="1"/>
  <c r="U157" i="8"/>
  <c r="G164" i="8" s="1"/>
  <c r="E157" i="8"/>
  <c r="C164" i="8" s="1"/>
  <c r="Q157" i="8"/>
  <c r="F164" i="8" s="1"/>
  <c r="E159" i="7"/>
  <c r="C166" i="7" s="1"/>
  <c r="B124" i="7"/>
  <c r="F124" i="7"/>
  <c r="I103" i="7"/>
  <c r="F159" i="7"/>
  <c r="D162" i="7" s="1"/>
  <c r="H162" i="7" s="1"/>
  <c r="U159" i="7"/>
  <c r="G166" i="7" s="1"/>
  <c r="C124" i="7"/>
  <c r="G124" i="7"/>
  <c r="J122" i="8"/>
  <c r="I103" i="8"/>
  <c r="C122" i="8"/>
  <c r="G122" i="8"/>
  <c r="K122" i="8"/>
  <c r="O122" i="8"/>
  <c r="Q122" i="8"/>
  <c r="G159" i="7"/>
  <c r="I49" i="8"/>
  <c r="I62" i="8"/>
  <c r="T122" i="8"/>
  <c r="D122" i="8"/>
  <c r="L122" i="8"/>
  <c r="P122" i="8"/>
  <c r="U122" i="8"/>
  <c r="D157" i="8"/>
  <c r="C163" i="8" s="1"/>
  <c r="C165" i="8" s="1"/>
  <c r="O157" i="8"/>
  <c r="F161" i="8" s="1"/>
  <c r="Q124" i="7"/>
  <c r="N159" i="7"/>
  <c r="E166" i="7" s="1"/>
  <c r="K159" i="7"/>
  <c r="M124" i="7"/>
  <c r="M159" i="7"/>
  <c r="E165" i="7" s="1"/>
  <c r="K124" i="7"/>
  <c r="T159" i="7"/>
  <c r="G165" i="7" s="1"/>
  <c r="D159" i="7"/>
  <c r="C165" i="7" s="1"/>
  <c r="C167" i="7" s="1"/>
  <c r="P159" i="7"/>
  <c r="F165" i="7" s="1"/>
  <c r="U124" i="7"/>
  <c r="E124" i="7"/>
  <c r="N124" i="7"/>
  <c r="M157" i="8"/>
  <c r="E163" i="8" s="1"/>
  <c r="N157" i="8"/>
  <c r="E164" i="8" s="1"/>
  <c r="R157" i="8"/>
  <c r="G161" i="8" s="1"/>
  <c r="F157" i="8"/>
  <c r="D160" i="8" s="1"/>
  <c r="H160" i="8" s="1"/>
  <c r="J157" i="8"/>
  <c r="D164" i="8" s="1"/>
  <c r="H122" i="8"/>
  <c r="I122" i="8"/>
  <c r="I157" i="8"/>
  <c r="D163" i="8" s="1"/>
  <c r="H157" i="8"/>
  <c r="D161" i="8" s="1"/>
  <c r="E122" i="8"/>
  <c r="M122" i="8"/>
  <c r="F122" i="8"/>
  <c r="R122" i="8"/>
  <c r="N122" i="8"/>
  <c r="R124" i="7"/>
  <c r="R159" i="7"/>
  <c r="G163" i="7" s="1"/>
  <c r="O159" i="7"/>
  <c r="F163" i="7" s="1"/>
  <c r="O124" i="7"/>
  <c r="L159" i="7"/>
  <c r="E163" i="7" s="1"/>
  <c r="I124" i="7"/>
  <c r="J124" i="7"/>
  <c r="I159" i="7"/>
  <c r="D165" i="7" s="1"/>
  <c r="H159" i="7"/>
  <c r="D163" i="7" s="1"/>
  <c r="J159" i="7"/>
  <c r="D166" i="7" s="1"/>
  <c r="T124" i="7"/>
  <c r="D124" i="7"/>
  <c r="H124" i="7"/>
  <c r="L124" i="7"/>
  <c r="P124" i="7"/>
  <c r="H161" i="8" l="1"/>
  <c r="I161" i="8" s="1"/>
  <c r="H163" i="8"/>
  <c r="H166" i="7"/>
  <c r="H165" i="7"/>
  <c r="H164" i="8"/>
  <c r="D165" i="8"/>
  <c r="E165" i="8" s="1"/>
  <c r="F165" i="8" s="1"/>
  <c r="G165" i="8" s="1"/>
  <c r="H163" i="7"/>
  <c r="I163" i="7" s="1"/>
  <c r="D167" i="7"/>
  <c r="E167" i="7" s="1"/>
  <c r="F167" i="7" s="1"/>
  <c r="G167" i="7" s="1"/>
  <c r="I164" i="8" l="1"/>
  <c r="I166" i="7"/>
  <c r="J149" i="2"/>
  <c r="I149" i="2"/>
  <c r="I129" i="2"/>
  <c r="I129" i="6"/>
  <c r="J149" i="6" l="1"/>
  <c r="I149" i="6"/>
  <c r="B160" i="6" l="1"/>
  <c r="U152" i="6"/>
  <c r="T152" i="6"/>
  <c r="S152" i="6"/>
  <c r="R152" i="6"/>
  <c r="Q152" i="6"/>
  <c r="P152" i="6"/>
  <c r="O152" i="6"/>
  <c r="N152" i="6"/>
  <c r="M152" i="6"/>
  <c r="L152" i="6"/>
  <c r="K152" i="6"/>
  <c r="J152" i="6"/>
  <c r="H152" i="6"/>
  <c r="G152" i="6"/>
  <c r="F152" i="6"/>
  <c r="E152" i="6"/>
  <c r="D152" i="6"/>
  <c r="C152" i="6"/>
  <c r="B152" i="6"/>
  <c r="I152" i="6"/>
  <c r="U121" i="6"/>
  <c r="T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B121" i="6"/>
  <c r="U119" i="6"/>
  <c r="T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B119" i="6"/>
  <c r="U114" i="6"/>
  <c r="T114" i="6"/>
  <c r="R114" i="6"/>
  <c r="Q114" i="6"/>
  <c r="P114" i="6"/>
  <c r="O114" i="6"/>
  <c r="N114" i="6"/>
  <c r="M114" i="6"/>
  <c r="L114" i="6"/>
  <c r="K114" i="6"/>
  <c r="J114" i="6"/>
  <c r="H114" i="6"/>
  <c r="G114" i="6"/>
  <c r="F114" i="6"/>
  <c r="E114" i="6"/>
  <c r="D114" i="6"/>
  <c r="C114" i="6"/>
  <c r="B114" i="6"/>
  <c r="I113" i="6"/>
  <c r="I114" i="6" s="1"/>
  <c r="U111" i="6"/>
  <c r="T111" i="6"/>
  <c r="R111" i="6"/>
  <c r="Q111" i="6"/>
  <c r="P111" i="6"/>
  <c r="O111" i="6"/>
  <c r="N111" i="6"/>
  <c r="M111" i="6"/>
  <c r="K111" i="6"/>
  <c r="J111" i="6"/>
  <c r="I111" i="6"/>
  <c r="G111" i="6"/>
  <c r="F111" i="6"/>
  <c r="E111" i="6"/>
  <c r="D111" i="6"/>
  <c r="C111" i="6"/>
  <c r="B111" i="6"/>
  <c r="L110" i="6"/>
  <c r="L111" i="6" s="1"/>
  <c r="H110" i="6"/>
  <c r="H111" i="6" s="1"/>
  <c r="U103" i="6"/>
  <c r="T103" i="6"/>
  <c r="R103" i="6"/>
  <c r="Q103" i="6"/>
  <c r="P103" i="6"/>
  <c r="O103" i="6"/>
  <c r="N103" i="6"/>
  <c r="M103" i="6"/>
  <c r="L103" i="6"/>
  <c r="K103" i="6"/>
  <c r="J103" i="6"/>
  <c r="H103" i="6"/>
  <c r="G103" i="6"/>
  <c r="F103" i="6"/>
  <c r="E103" i="6"/>
  <c r="D103" i="6"/>
  <c r="C103" i="6"/>
  <c r="B103" i="6"/>
  <c r="I73" i="6"/>
  <c r="I66" i="6"/>
  <c r="I65" i="6"/>
  <c r="I64" i="6"/>
  <c r="U62" i="6"/>
  <c r="T62" i="6"/>
  <c r="S62" i="6"/>
  <c r="R62" i="6"/>
  <c r="Q62" i="6"/>
  <c r="P62" i="6"/>
  <c r="O62" i="6"/>
  <c r="N62" i="6"/>
  <c r="M62" i="6"/>
  <c r="K62" i="6"/>
  <c r="J62" i="6"/>
  <c r="G62" i="6"/>
  <c r="F62" i="6"/>
  <c r="E62" i="6"/>
  <c r="D62" i="6"/>
  <c r="C62" i="6"/>
  <c r="B62" i="6"/>
  <c r="L58" i="6"/>
  <c r="L62" i="6" s="1"/>
  <c r="H58" i="6"/>
  <c r="H62" i="6" s="1"/>
  <c r="I52" i="6"/>
  <c r="I51" i="6"/>
  <c r="I50" i="6"/>
  <c r="U49" i="6"/>
  <c r="T49" i="6"/>
  <c r="R49" i="6"/>
  <c r="Q49" i="6"/>
  <c r="P49" i="6"/>
  <c r="O49" i="6"/>
  <c r="N49" i="6"/>
  <c r="M49" i="6"/>
  <c r="L49" i="6"/>
  <c r="K49" i="6"/>
  <c r="H49" i="6"/>
  <c r="G49" i="6"/>
  <c r="F49" i="6"/>
  <c r="E49" i="6"/>
  <c r="D49" i="6"/>
  <c r="C49" i="6"/>
  <c r="B49" i="6"/>
  <c r="I43" i="6"/>
  <c r="I40" i="6"/>
  <c r="I36" i="6"/>
  <c r="J35" i="6"/>
  <c r="J49" i="6" s="1"/>
  <c r="U34" i="6"/>
  <c r="T34" i="6"/>
  <c r="R34" i="6"/>
  <c r="Q34" i="6"/>
  <c r="P34" i="6"/>
  <c r="O34" i="6"/>
  <c r="N34" i="6"/>
  <c r="M34" i="6"/>
  <c r="L34" i="6"/>
  <c r="K34" i="6"/>
  <c r="J34" i="6"/>
  <c r="H34" i="6"/>
  <c r="G34" i="6"/>
  <c r="F34" i="6"/>
  <c r="E34" i="6"/>
  <c r="D34" i="6"/>
  <c r="C34" i="6"/>
  <c r="B34" i="6"/>
  <c r="I12" i="6"/>
  <c r="I34" i="6" s="1"/>
  <c r="S154" i="6" l="1"/>
  <c r="O122" i="6"/>
  <c r="G154" i="6"/>
  <c r="P154" i="6"/>
  <c r="F160" i="6" s="1"/>
  <c r="T154" i="6"/>
  <c r="G160" i="6" s="1"/>
  <c r="F122" i="6"/>
  <c r="N122" i="6"/>
  <c r="K154" i="6"/>
  <c r="I103" i="6"/>
  <c r="C122" i="6"/>
  <c r="K122" i="6"/>
  <c r="T122" i="6"/>
  <c r="D122" i="6"/>
  <c r="P122" i="6"/>
  <c r="U122" i="6"/>
  <c r="D154" i="6"/>
  <c r="C160" i="6" s="1"/>
  <c r="B122" i="6"/>
  <c r="J122" i="6"/>
  <c r="R122" i="6"/>
  <c r="O154" i="6"/>
  <c r="F158" i="6" s="1"/>
  <c r="I49" i="6"/>
  <c r="I62" i="6"/>
  <c r="E122" i="6"/>
  <c r="M122" i="6"/>
  <c r="Q122" i="6"/>
  <c r="G122" i="6"/>
  <c r="L154" i="6"/>
  <c r="E158" i="6" s="1"/>
  <c r="H122" i="6"/>
  <c r="L122" i="6"/>
  <c r="H154" i="6"/>
  <c r="D158" i="6" s="1"/>
  <c r="E154" i="6"/>
  <c r="C161" i="6" s="1"/>
  <c r="M154" i="6"/>
  <c r="E160" i="6" s="1"/>
  <c r="Q154" i="6"/>
  <c r="F161" i="6" s="1"/>
  <c r="U154" i="6"/>
  <c r="G161" i="6" s="1"/>
  <c r="F154" i="6"/>
  <c r="D157" i="6" s="1"/>
  <c r="H157" i="6" s="1"/>
  <c r="J154" i="6"/>
  <c r="D161" i="6" s="1"/>
  <c r="N154" i="6"/>
  <c r="E161" i="6" s="1"/>
  <c r="R154" i="6"/>
  <c r="G158" i="6" s="1"/>
  <c r="I122" i="6" l="1"/>
  <c r="I154" i="6"/>
  <c r="D160" i="6" s="1"/>
  <c r="H160" i="6" s="1"/>
  <c r="H161" i="6"/>
  <c r="H158" i="6"/>
  <c r="I158" i="6" s="1"/>
  <c r="C162" i="6"/>
  <c r="D162" i="6" l="1"/>
  <c r="E162" i="6" s="1"/>
  <c r="F162" i="6" s="1"/>
  <c r="G162" i="6" s="1"/>
  <c r="I161" i="6"/>
  <c r="H49" i="2"/>
  <c r="M103" i="2"/>
  <c r="N103" i="2"/>
  <c r="L103" i="2"/>
  <c r="J35" i="2" l="1"/>
  <c r="I73" i="2" l="1"/>
  <c r="I64" i="2"/>
  <c r="I66" i="2"/>
  <c r="I12" i="2"/>
  <c r="I113" i="2"/>
  <c r="I40" i="2"/>
  <c r="I65" i="2"/>
  <c r="I36" i="2"/>
  <c r="I43" i="2"/>
  <c r="I51" i="2"/>
  <c r="I50" i="2"/>
  <c r="I52" i="2"/>
  <c r="D34" i="2"/>
  <c r="E34" i="2"/>
  <c r="C152" i="2" l="1"/>
  <c r="C111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C62" i="2"/>
  <c r="D62" i="2"/>
  <c r="E62" i="2"/>
  <c r="F62" i="2"/>
  <c r="G62" i="2"/>
  <c r="I62" i="2"/>
  <c r="J62" i="2"/>
  <c r="K62" i="2"/>
  <c r="M62" i="2"/>
  <c r="N62" i="2"/>
  <c r="O62" i="2"/>
  <c r="P62" i="2"/>
  <c r="Q62" i="2"/>
  <c r="R62" i="2"/>
  <c r="S62" i="2"/>
  <c r="T62" i="2"/>
  <c r="U62" i="2"/>
  <c r="B62" i="2"/>
  <c r="S154" i="2" l="1"/>
  <c r="B152" i="2" l="1"/>
  <c r="B160" i="2" l="1"/>
  <c r="B34" i="2" l="1"/>
  <c r="C34" i="2"/>
  <c r="B49" i="2"/>
  <c r="C49" i="2"/>
  <c r="D49" i="2"/>
  <c r="E49" i="2"/>
  <c r="B103" i="2"/>
  <c r="C103" i="2"/>
  <c r="D103" i="2"/>
  <c r="E103" i="2"/>
  <c r="B111" i="2"/>
  <c r="D111" i="2"/>
  <c r="E111" i="2"/>
  <c r="B114" i="2"/>
  <c r="C114" i="2"/>
  <c r="D114" i="2"/>
  <c r="E114" i="2"/>
  <c r="B119" i="2"/>
  <c r="C119" i="2"/>
  <c r="D119" i="2"/>
  <c r="E119" i="2"/>
  <c r="B121" i="2"/>
  <c r="C121" i="2"/>
  <c r="D121" i="2"/>
  <c r="E121" i="2"/>
  <c r="F121" i="2"/>
  <c r="E154" i="2" l="1"/>
  <c r="C161" i="2" s="1"/>
  <c r="D154" i="2"/>
  <c r="C160" i="2" s="1"/>
  <c r="D122" i="2"/>
  <c r="C122" i="2"/>
  <c r="B122" i="2"/>
  <c r="E122" i="2"/>
  <c r="C162" i="2" l="1"/>
  <c r="P121" i="2"/>
  <c r="P119" i="2"/>
  <c r="P114" i="2"/>
  <c r="T121" i="2" l="1"/>
  <c r="T119" i="2"/>
  <c r="T114" i="2"/>
  <c r="T111" i="2"/>
  <c r="P111" i="2"/>
  <c r="M121" i="2"/>
  <c r="M119" i="2"/>
  <c r="M114" i="2"/>
  <c r="M111" i="2"/>
  <c r="T103" i="2"/>
  <c r="P103" i="2"/>
  <c r="T49" i="2"/>
  <c r="P49" i="2"/>
  <c r="M49" i="2"/>
  <c r="T34" i="2"/>
  <c r="P34" i="2"/>
  <c r="M34" i="2"/>
  <c r="J121" i="2"/>
  <c r="J119" i="2"/>
  <c r="J114" i="2"/>
  <c r="J111" i="2"/>
  <c r="J103" i="2"/>
  <c r="J49" i="2"/>
  <c r="J34" i="2"/>
  <c r="T154" i="2" l="1"/>
  <c r="M154" i="2"/>
  <c r="P154" i="2"/>
  <c r="F160" i="2" s="1"/>
  <c r="J154" i="2"/>
  <c r="D161" i="2" s="1"/>
  <c r="P122" i="2"/>
  <c r="G160" i="2"/>
  <c r="E160" i="2"/>
  <c r="M122" i="2"/>
  <c r="T122" i="2"/>
  <c r="J122" i="2"/>
  <c r="G119" i="2" l="1"/>
  <c r="H119" i="2"/>
  <c r="I119" i="2"/>
  <c r="K119" i="2"/>
  <c r="L119" i="2"/>
  <c r="N119" i="2"/>
  <c r="O119" i="2"/>
  <c r="Q119" i="2"/>
  <c r="R119" i="2"/>
  <c r="U119" i="2"/>
  <c r="F119" i="2"/>
  <c r="G114" i="2"/>
  <c r="H114" i="2"/>
  <c r="I114" i="2"/>
  <c r="K114" i="2"/>
  <c r="L114" i="2"/>
  <c r="N114" i="2"/>
  <c r="O114" i="2"/>
  <c r="Q114" i="2"/>
  <c r="R114" i="2"/>
  <c r="U114" i="2"/>
  <c r="F114" i="2"/>
  <c r="G111" i="2"/>
  <c r="I111" i="2"/>
  <c r="K111" i="2"/>
  <c r="N111" i="2"/>
  <c r="O111" i="2"/>
  <c r="Q111" i="2"/>
  <c r="R111" i="2"/>
  <c r="U111" i="2"/>
  <c r="F111" i="2"/>
  <c r="G103" i="2"/>
  <c r="H103" i="2"/>
  <c r="I103" i="2"/>
  <c r="K103" i="2"/>
  <c r="O103" i="2"/>
  <c r="Q103" i="2"/>
  <c r="R103" i="2"/>
  <c r="U103" i="2"/>
  <c r="F103" i="2"/>
  <c r="G49" i="2"/>
  <c r="I49" i="2"/>
  <c r="K49" i="2"/>
  <c r="L49" i="2"/>
  <c r="N49" i="2"/>
  <c r="O49" i="2"/>
  <c r="Q49" i="2"/>
  <c r="R49" i="2"/>
  <c r="U49" i="2"/>
  <c r="F49" i="2"/>
  <c r="G34" i="2"/>
  <c r="H34" i="2"/>
  <c r="I34" i="2"/>
  <c r="K34" i="2"/>
  <c r="L34" i="2"/>
  <c r="N34" i="2"/>
  <c r="O34" i="2"/>
  <c r="Q34" i="2"/>
  <c r="R34" i="2"/>
  <c r="U34" i="2"/>
  <c r="F34" i="2"/>
  <c r="U121" i="2"/>
  <c r="R121" i="2"/>
  <c r="Q121" i="2"/>
  <c r="O121" i="2"/>
  <c r="N121" i="2"/>
  <c r="L121" i="2"/>
  <c r="K121" i="2"/>
  <c r="I121" i="2"/>
  <c r="H121" i="2"/>
  <c r="G121" i="2"/>
  <c r="U154" i="2" l="1"/>
  <c r="G161" i="2" s="1"/>
  <c r="O154" i="2"/>
  <c r="F158" i="2" s="1"/>
  <c r="N154" i="2"/>
  <c r="E161" i="2" s="1"/>
  <c r="F154" i="2"/>
  <c r="D157" i="2" s="1"/>
  <c r="H157" i="2" s="1"/>
  <c r="K154" i="2"/>
  <c r="G154" i="2"/>
  <c r="R154" i="2"/>
  <c r="G158" i="2" s="1"/>
  <c r="I154" i="2"/>
  <c r="Q154" i="2"/>
  <c r="F161" i="2" s="1"/>
  <c r="K122" i="2"/>
  <c r="G122" i="2"/>
  <c r="F122" i="2"/>
  <c r="O122" i="2"/>
  <c r="R122" i="2"/>
  <c r="Q122" i="2"/>
  <c r="U122" i="2"/>
  <c r="N122" i="2"/>
  <c r="I122" i="2"/>
  <c r="D160" i="2" l="1"/>
  <c r="H160" i="2" s="1"/>
  <c r="H161" i="2"/>
  <c r="L58" i="2"/>
  <c r="L62" i="2" s="1"/>
  <c r="H58" i="2"/>
  <c r="H62" i="2" s="1"/>
  <c r="D162" i="2" l="1"/>
  <c r="E162" i="2" s="1"/>
  <c r="F162" i="2" s="1"/>
  <c r="G162" i="2" s="1"/>
  <c r="I161" i="2"/>
  <c r="L110" i="2"/>
  <c r="L111" i="2" s="1"/>
  <c r="L154" i="2" s="1"/>
  <c r="H110" i="2"/>
  <c r="H111" i="2" s="1"/>
  <c r="H154" i="2" s="1"/>
  <c r="D158" i="2" l="1"/>
  <c r="H122" i="2"/>
  <c r="E158" i="2"/>
  <c r="L122" i="2"/>
  <c r="H158" i="2" l="1"/>
  <c r="I15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Kotulová Ivona</author>
    <author>Staňková Petra</author>
    <author>Václavíková Radana</author>
  </authors>
  <commentList>
    <comment ref="A5" authorId="0" shapeId="0" xr:uid="{3A549AAC-ADED-43F7-8950-E26CA06707CA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bude znovu předloženo, Lískovec bude předložen do IROP (zpět rozpočet IM), v projetu ho nahradí silnice v obdobném objemu</t>
        </r>
      </text>
    </comment>
    <comment ref="A32" authorId="1" shapeId="0" xr:uid="{637EB8FA-181E-43CA-B545-2A21367F6F6E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410.409 tis Kč; rok 2023 není doplněn???</t>
        </r>
      </text>
    </comment>
    <comment ref="A33" authorId="1" shapeId="0" xr:uid="{AC507B36-8B15-4321-9667-5E2C5ACC2AA5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2.226.270 tis, ale rok 2023 není doplněn</t>
        </r>
      </text>
    </comment>
    <comment ref="A35" authorId="0" shapeId="0" xr:uid="{D5C98386-8863-4B72-9D2D-CA96454038FD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název:Zlepšenie dostupnosti kultúrnych pamiatok na Slovensko-českom pohraničí</t>
        </r>
      </text>
    </comment>
    <comment ref="A58" authorId="1" shapeId="0" xr:uid="{63DA852D-263E-4274-911B-DE495B279636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změna mezi lety 21 a 22; zároveň je v lstu akce psaná dotace???</t>
        </r>
      </text>
    </comment>
    <comment ref="A65" authorId="0" shapeId="0" xr:uid="{15BEF366-B9C2-4B56-A9AE-B991B5253CCA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projetk Podpora technických oborů</t>
        </r>
      </text>
    </comment>
    <comment ref="A89" authorId="1" shapeId="0" xr:uid="{91B8EEC3-9929-47A6-B293-76536129DF92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přehozen fond z roku 22 do 21 a navýšení akce o 27.280 z úvěru v roce 2021???</t>
        </r>
      </text>
    </comment>
    <comment ref="A91" authorId="1" shapeId="0" xr:uid="{CC2CB102-D095-4832-A4C0-F215BD5734E8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roce 22 a 23 jsem odmazala z nového úvěru 20 mil. A 13,5 mil.  - je to na akci výše</t>
        </r>
      </text>
    </comment>
    <comment ref="A104" authorId="2" shapeId="0" xr:uid="{80452CAC-5EF3-410D-9FFE-66591D3B77EE}">
      <text>
        <r>
          <rPr>
            <sz val="9"/>
            <color indexed="81"/>
            <rFont val="Tahoma"/>
            <family val="2"/>
            <charset val="238"/>
          </rPr>
          <t xml:space="preserve">pokud bude realizováno, pravděpodobně celé z prostředků kraje!!!
</t>
        </r>
      </text>
    </comment>
    <comment ref="A110" authorId="1" shapeId="0" xr:uid="{48A138D3-F722-4DCB-8387-57F3C842F9A5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na listu akce mají upravený rozpočet 9/20 nulový, ale dle sestav je 2 mil.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Pavlíčková Šárka</author>
    <author>Kotulová Ivona</author>
    <author>Staňková Petra</author>
    <author>Václavíková Radana</author>
  </authors>
  <commentList>
    <comment ref="A1" authorId="0" shapeId="0" xr:uid="{1B843C49-6B37-428E-91F6-8FA3F1E07C04}">
      <text>
        <r>
          <rPr>
            <b/>
            <sz val="9"/>
            <color indexed="81"/>
            <rFont val="Tahoma"/>
            <family val="2"/>
            <charset val="238"/>
          </rPr>
          <t>Pavlíčková Šárka:</t>
        </r>
        <r>
          <rPr>
            <sz val="9"/>
            <color indexed="81"/>
            <rFont val="Tahoma"/>
            <family val="2"/>
            <charset val="238"/>
          </rPr>
          <t xml:space="preserve">
aktivní i ukončené projekty financované z úvěrů</t>
        </r>
      </text>
    </comment>
    <comment ref="F2" authorId="0" shapeId="0" xr:uid="{00C07930-BF47-43C9-AD82-62E5DF345A6F}">
      <text>
        <r>
          <rPr>
            <b/>
            <sz val="9"/>
            <color indexed="81"/>
            <rFont val="Tahoma"/>
            <family val="2"/>
            <charset val="238"/>
          </rPr>
          <t>Pavlíčková Šárka:</t>
        </r>
        <r>
          <rPr>
            <sz val="9"/>
            <color indexed="81"/>
            <rFont val="Tahoma"/>
            <family val="2"/>
            <charset val="238"/>
          </rPr>
          <t xml:space="preserve">
Fond pro financování strategicých projektů
</t>
        </r>
      </text>
    </comment>
    <comment ref="P2" authorId="0" shapeId="0" xr:uid="{E72607CC-99F8-4FCD-81B7-C66CF1BCAD4B}">
      <text>
        <r>
          <rPr>
            <b/>
            <sz val="9"/>
            <color indexed="81"/>
            <rFont val="Tahoma"/>
            <family val="2"/>
            <charset val="238"/>
          </rPr>
          <t>Pavlíčková Šárka:</t>
        </r>
        <r>
          <rPr>
            <sz val="9"/>
            <color indexed="81"/>
            <rFont val="Tahoma"/>
            <family val="2"/>
            <charset val="238"/>
          </rPr>
          <t xml:space="preserve">
až se bude splácet, banka si bude sama inkasovat pevnou splátku - nemusím sledovat
banka si stáhne celou částku (ne po projektech) - plán 300 mil. Od roku 2026
</t>
        </r>
      </text>
    </comment>
    <comment ref="A6" authorId="1" shapeId="0" xr:uid="{42E75480-A10A-4505-B530-A40C119CC100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bude znovu předloženo, Lískovec bude předložen do IROP (zpět rozpočet IM), v projetu ho nahradí silnice v obdobném objemu</t>
        </r>
      </text>
    </comment>
    <comment ref="A35" authorId="2" shapeId="0" xr:uid="{18015B6E-1DD4-4D9A-8951-0EDE32D08E81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410.409 tis Kč; rok 2023 není doplněn???</t>
        </r>
      </text>
    </comment>
    <comment ref="A36" authorId="2" shapeId="0" xr:uid="{5E96D7BA-E690-40F6-8DF5-C1ECB8F862C4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2.226.270 tis, ale rok 2023 není doplněn</t>
        </r>
      </text>
    </comment>
    <comment ref="A38" authorId="1" shapeId="0" xr:uid="{D27D1CCD-1AC5-4234-86CE-D549F76267FF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název:Zlepšenie dostupnosti kultúrnych pamiatok na Slovensko-českom pohraničí</t>
        </r>
      </text>
    </comment>
    <comment ref="A69" authorId="2" shapeId="0" xr:uid="{47825006-618E-4CAF-8A5C-7E26D07FDF5C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změna mezi lety 21 a 22; zároveň je v lstu akce psaná dotace???</t>
        </r>
      </text>
    </comment>
    <comment ref="A78" authorId="1" shapeId="0" xr:uid="{2BCF391C-EFEC-4391-8F3C-94F9B4CD2899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projetk Podpora technických oborů</t>
        </r>
      </text>
    </comment>
    <comment ref="A104" authorId="2" shapeId="0" xr:uid="{D327DA93-1619-43FF-99E6-5306D535D84F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přehozen fond z roku 22 do 21 a navýšení akce o 27.280 z úvěru v roce 2021???</t>
        </r>
      </text>
    </comment>
    <comment ref="A106" authorId="2" shapeId="0" xr:uid="{EACAD0EA-43B7-4DD6-9210-4C2E0EE8E457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roce 22 a 23 jsem odmazala z nového úvěru 20 mil. A 13,5 mil.  - je to na akci výše</t>
        </r>
      </text>
    </comment>
    <comment ref="A132" authorId="3" shapeId="0" xr:uid="{5A04872E-07DF-49FC-8209-47210DDA4FAA}">
      <text>
        <r>
          <rPr>
            <sz val="9"/>
            <color indexed="81"/>
            <rFont val="Tahoma"/>
            <family val="2"/>
            <charset val="238"/>
          </rPr>
          <t xml:space="preserve">pokud bude realizováno, pravděpodobně celé z prostředků kraje!!!
</t>
        </r>
      </text>
    </comment>
    <comment ref="A138" authorId="2" shapeId="0" xr:uid="{2EE25D90-177A-429C-B9E2-6FD682040740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na listu akce mají upravený rozpočet 9/20 nulový, ale dle sestav je 2 mil.</t>
        </r>
      </text>
    </comment>
    <comment ref="A203" authorId="0" shapeId="0" xr:uid="{D3E39EEB-F4D7-45D5-B2ED-1398EEFC35A6}">
      <text>
        <r>
          <rPr>
            <b/>
            <sz val="9"/>
            <color indexed="81"/>
            <rFont val="Tahoma"/>
            <family val="2"/>
            <charset val="238"/>
          </rPr>
          <t>Pavlíčková Šárka:</t>
        </r>
        <r>
          <rPr>
            <sz val="9"/>
            <color indexed="81"/>
            <rFont val="Tahoma"/>
            <family val="2"/>
            <charset val="238"/>
          </rPr>
          <t xml:space="preserve">
nesmí překročit 3 mld</t>
        </r>
      </text>
    </comment>
    <comment ref="A209" authorId="0" shapeId="0" xr:uid="{AF403C0A-C0EB-4BDC-A0D2-C7809BD6A650}">
      <text>
        <r>
          <rPr>
            <b/>
            <sz val="9"/>
            <color indexed="81"/>
            <rFont val="Tahoma"/>
            <family val="2"/>
            <charset val="238"/>
          </rPr>
          <t>Pavlíčková Šárka:</t>
        </r>
        <r>
          <rPr>
            <sz val="9"/>
            <color indexed="81"/>
            <rFont val="Tahoma"/>
            <family val="2"/>
            <charset val="238"/>
          </rPr>
          <t xml:space="preserve">
Nesmí překročit 1 mld</t>
        </r>
      </text>
    </comment>
    <comment ref="G209" authorId="0" shapeId="0" xr:uid="{A08B18B4-473A-4E46-8815-D4B1AE22E7EB}">
      <text>
        <r>
          <rPr>
            <b/>
            <sz val="9"/>
            <color indexed="81"/>
            <rFont val="Tahoma"/>
            <family val="2"/>
            <charset val="238"/>
          </rPr>
          <t>Pavlíčková Šárka:</t>
        </r>
        <r>
          <rPr>
            <sz val="9"/>
            <color indexed="81"/>
            <rFont val="Tahoma"/>
            <family val="2"/>
            <charset val="238"/>
          </rPr>
          <t xml:space="preserve">
musí vyjít 0 v roce 2024;
úvěr musí být do r. 2024 zcela splacen, pokud nepříjdou dotace, musí se nesplacená částka úvěru splatit z vlastních zrojů = rozpočtovat pol. 8124 do rozpčtu 2024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Pavlíčková Šárka</author>
    <author>Kotulová Ivona</author>
    <author>Staňková Petra</author>
    <author>Václavíková Radana</author>
  </authors>
  <commentList>
    <comment ref="A1" authorId="0" shapeId="0" xr:uid="{83F7489E-1BFF-4801-AD24-4BEF66DC632E}">
      <text>
        <r>
          <rPr>
            <b/>
            <sz val="9"/>
            <color indexed="81"/>
            <rFont val="Tahoma"/>
            <family val="2"/>
            <charset val="238"/>
          </rPr>
          <t>Pavlíčková Šárka:</t>
        </r>
        <r>
          <rPr>
            <sz val="9"/>
            <color indexed="81"/>
            <rFont val="Tahoma"/>
            <family val="2"/>
            <charset val="238"/>
          </rPr>
          <t xml:space="preserve">
aktivní i ukončené projekty financované z úvěrů</t>
        </r>
      </text>
    </comment>
    <comment ref="G2" authorId="0" shapeId="0" xr:uid="{5FAC2347-1193-44F5-97F3-0D570A2C7A42}">
      <text>
        <r>
          <rPr>
            <b/>
            <sz val="9"/>
            <color indexed="81"/>
            <rFont val="Tahoma"/>
            <family val="2"/>
            <charset val="238"/>
          </rPr>
          <t>Pavlíčková Šárka:</t>
        </r>
        <r>
          <rPr>
            <sz val="9"/>
            <color indexed="81"/>
            <rFont val="Tahoma"/>
            <family val="2"/>
            <charset val="238"/>
          </rPr>
          <t xml:space="preserve">
Fond pro financování strategicých projektů
</t>
        </r>
      </text>
    </comment>
    <comment ref="Q2" authorId="0" shapeId="0" xr:uid="{3D646D3B-A93C-4557-9A75-59F49676167E}">
      <text>
        <r>
          <rPr>
            <b/>
            <sz val="9"/>
            <color indexed="81"/>
            <rFont val="Tahoma"/>
            <family val="2"/>
            <charset val="238"/>
          </rPr>
          <t>Pavlíčková Šárka:</t>
        </r>
        <r>
          <rPr>
            <sz val="9"/>
            <color indexed="81"/>
            <rFont val="Tahoma"/>
            <family val="2"/>
            <charset val="238"/>
          </rPr>
          <t xml:space="preserve">
až se bude splácet, banka si bude sama inkasovat pevnou splátku - nemusím sledovat
banka si stáhne celou částku (ne po projektech) - plán 300 mil. Od roku 2026
</t>
        </r>
      </text>
    </comment>
    <comment ref="A8" authorId="1" shapeId="0" xr:uid="{7AD66608-33F3-4DEE-957C-00C3EE2D7244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bude znovu předloženo, Lískovec bude předložen do IROP (zpět rozpočet IM), v projetu ho nahradí silnice v obdobném objemu</t>
        </r>
      </text>
    </comment>
    <comment ref="A36" authorId="2" shapeId="0" xr:uid="{FC580B86-D84F-471B-84B4-24C4086D9AAD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410.409 tis Kč; rok 2023 není doplněn???</t>
        </r>
      </text>
    </comment>
    <comment ref="A37" authorId="2" shapeId="0" xr:uid="{BDEB0F45-725F-4D6E-AC24-6FBA7E524860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2.226.270 tis, ale rok 2023 není doplněn</t>
        </r>
      </text>
    </comment>
    <comment ref="A48" authorId="1" shapeId="0" xr:uid="{14ECD6C0-1925-4114-8CAA-21A7AB93B310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název:Zlepšenie dostupnosti kultúrnych pamiatok na Slovensko-českom pohraničí</t>
        </r>
      </text>
    </comment>
    <comment ref="A79" authorId="2" shapeId="0" xr:uid="{877E338E-C9D5-43F0-A812-E682E6DEA7F7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změna mezi lety 21 a 22; zároveň je v lstu akce psaná dotace???</t>
        </r>
      </text>
    </comment>
    <comment ref="A88" authorId="1" shapeId="0" xr:uid="{166F13E4-7310-49FB-A618-1694E81BDD30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projetk Podpora technických oborů</t>
        </r>
      </text>
    </comment>
    <comment ref="A114" authorId="2" shapeId="0" xr:uid="{B6DC6116-F59D-4C12-904E-8ADB8D6EFAD7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přehozen fond z roku 22 do 21 a navýšení akce o 27.280 z úvěru v roce 2021???</t>
        </r>
      </text>
    </comment>
    <comment ref="A116" authorId="2" shapeId="0" xr:uid="{7DD64500-9A39-4277-A31C-EE92073D9358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roce 22 a 23 jsem odmazala z nového úvěru 20 mil. A 13,5 mil.  - je to na akci výše</t>
        </r>
      </text>
    </comment>
    <comment ref="A143" authorId="3" shapeId="0" xr:uid="{C1FBA76E-22FC-4965-B774-08479D493957}">
      <text>
        <r>
          <rPr>
            <sz val="9"/>
            <color indexed="81"/>
            <rFont val="Tahoma"/>
            <family val="2"/>
            <charset val="238"/>
          </rPr>
          <t xml:space="preserve">pokud bude realizováno, pravděpodobně celé z prostředků kraje!!!
</t>
        </r>
      </text>
    </comment>
    <comment ref="A149" authorId="2" shapeId="0" xr:uid="{2DEF6CD1-2656-4E5F-872D-48FE3C2E1D02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na listu akce mají upravený rozpočet 9/20 nulový, ale dle sestav je 2 mil.</t>
        </r>
      </text>
    </comment>
    <comment ref="A209" authorId="0" shapeId="0" xr:uid="{C7E734BA-7010-484F-8489-D80E1D132660}">
      <text>
        <r>
          <rPr>
            <b/>
            <sz val="9"/>
            <color indexed="81"/>
            <rFont val="Tahoma"/>
            <family val="2"/>
            <charset val="238"/>
          </rPr>
          <t>Pavlíčková Šárka:</t>
        </r>
        <r>
          <rPr>
            <sz val="9"/>
            <color indexed="81"/>
            <rFont val="Tahoma"/>
            <family val="2"/>
            <charset val="238"/>
          </rPr>
          <t xml:space="preserve">
nesmí překročit 3 mld</t>
        </r>
      </text>
    </comment>
    <comment ref="A215" authorId="0" shapeId="0" xr:uid="{1C3B7A0F-73C3-44E7-B8F4-6E079EA83858}">
      <text>
        <r>
          <rPr>
            <b/>
            <sz val="9"/>
            <color indexed="81"/>
            <rFont val="Tahoma"/>
            <family val="2"/>
            <charset val="238"/>
          </rPr>
          <t>Pavlíčková Šárka:</t>
        </r>
        <r>
          <rPr>
            <sz val="9"/>
            <color indexed="81"/>
            <rFont val="Tahoma"/>
            <family val="2"/>
            <charset val="238"/>
          </rPr>
          <t xml:space="preserve">
Nesmí překročit 1 mld</t>
        </r>
      </text>
    </comment>
    <comment ref="H215" authorId="0" shapeId="0" xr:uid="{EAA8A302-22D2-4F4F-BA5D-63F58647207B}">
      <text>
        <r>
          <rPr>
            <b/>
            <sz val="9"/>
            <color indexed="81"/>
            <rFont val="Tahoma"/>
            <family val="2"/>
            <charset val="238"/>
          </rPr>
          <t>Pavlíčková Šárka:</t>
        </r>
        <r>
          <rPr>
            <sz val="9"/>
            <color indexed="81"/>
            <rFont val="Tahoma"/>
            <family val="2"/>
            <charset val="238"/>
          </rPr>
          <t xml:space="preserve">
musí vyjít 0 v roce 2024;
úvěr musí být do r. 2024 zcela splacen, pokud nepříjdou dotace, musí se nesplacená částka úvěru splatit z vlastních zrojů = rozpočtovat pol. 8124 do rozpčtu 2024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Kotulová Ivona</author>
    <author>Staňková Petra</author>
    <author>Václavíková Radana</author>
  </authors>
  <commentList>
    <comment ref="A6" authorId="0" shapeId="0" xr:uid="{804A12C9-4FBA-42ED-AF08-EEA841BB505E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bude znovu předloženo, Lískovec bude předložen do IROP (zpět rozpočet IM), v projetu ho nahradí silnice v obdobném objemu</t>
        </r>
      </text>
    </comment>
    <comment ref="A35" authorId="1" shapeId="0" xr:uid="{BAD4CE73-B369-4C63-B942-6EBB3810BD1A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410.409 tis Kč; rok 2023 není doplněn???</t>
        </r>
      </text>
    </comment>
    <comment ref="A36" authorId="1" shapeId="0" xr:uid="{88DEF5D7-67CD-422B-8F39-8C079E4C03AD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2.226.270 tis, ale rok 2023 není doplněn</t>
        </r>
      </text>
    </comment>
    <comment ref="A38" authorId="0" shapeId="0" xr:uid="{A0E5892A-737D-434B-A1A8-F92F3059CFAD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název:Zlepšenie dostupnosti kultúrnych pamiatok na Slovensko-českom pohraničí</t>
        </r>
      </text>
    </comment>
    <comment ref="A65" authorId="1" shapeId="0" xr:uid="{56ECAB37-0E0A-426F-B910-6E787F2907D5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změna mezi lety 21 a 22; zároveň je v lstu akce psaná dotace???</t>
        </r>
      </text>
    </comment>
    <comment ref="A71" authorId="0" shapeId="0" xr:uid="{796BFA6F-B05C-4E23-85F4-24F3B571965F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projetk Podpora technických oborů</t>
        </r>
      </text>
    </comment>
    <comment ref="A97" authorId="1" shapeId="0" xr:uid="{F1222363-33FA-43B3-AD2A-2A221326A0F6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přehozen fond z roku 22 do 21 a navýšení akce o 27.280 z úvěru v roce 2021???</t>
        </r>
      </text>
    </comment>
    <comment ref="A99" authorId="1" shapeId="0" xr:uid="{184C652D-BF72-44B0-87FD-1FD9EE906926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roce 22 a 23 jsem odmazala z nového úvěru 20 mil. A 13,5 mil.  - je to na akci výše</t>
        </r>
      </text>
    </comment>
    <comment ref="A119" authorId="2" shapeId="0" xr:uid="{27F7C813-FD0C-40D4-B249-7F50400C03F0}">
      <text>
        <r>
          <rPr>
            <sz val="9"/>
            <color indexed="81"/>
            <rFont val="Tahoma"/>
            <family val="2"/>
            <charset val="238"/>
          </rPr>
          <t xml:space="preserve">pokud bude realizováno, pravděpodobně celé z prostředků kraje!!!
</t>
        </r>
      </text>
    </comment>
    <comment ref="A128" authorId="1" shapeId="0" xr:uid="{52271113-76F4-4A7F-A350-57C5FABD1A19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na listu akce mají upravený rozpočet 9/20 nulový, ale dle sestav je 2 mil.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Kotulová Ivona</author>
    <author>Staňková Petra</author>
    <author>Václavíková Radana</author>
  </authors>
  <commentList>
    <comment ref="A5" authorId="0" shapeId="0" xr:uid="{072DD63E-A762-436D-889E-322D57A38011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bude znovu předloženo, Lískovec bude předložen do IROP (zpět rozpočet IM), v projetu ho nahradí silnice v obdobném objemu</t>
        </r>
      </text>
    </comment>
    <comment ref="A32" authorId="1" shapeId="0" xr:uid="{7623898A-FEC1-41ED-BDEB-A9244B9C61D0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410.409 tis Kč; rok 2023 není doplněn???</t>
        </r>
      </text>
    </comment>
    <comment ref="A33" authorId="1" shapeId="0" xr:uid="{65EE73C5-D38C-40EC-83D9-49B6B2EF0532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2.226.270 tis, ale rok 2023 není doplněn</t>
        </r>
      </text>
    </comment>
    <comment ref="A35" authorId="0" shapeId="0" xr:uid="{43EA5DE3-5690-4343-9ED8-927D8E39E848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název:Zlepšenie dostupnosti kultúrnych pamiatok na Slovensko-českom pohraničí</t>
        </r>
      </text>
    </comment>
    <comment ref="A58" authorId="1" shapeId="0" xr:uid="{C9B78ECA-12BF-4D6F-ACD3-BAD0B7A5D72B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změna mezi lety 21 a 22; zároveň je v lstu akce psaná dotace???</t>
        </r>
      </text>
    </comment>
    <comment ref="A65" authorId="0" shapeId="0" xr:uid="{02EBFBA5-BEB7-46DD-88EE-E0D8047C4E59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projetk Podpora technických oborů</t>
        </r>
      </text>
    </comment>
    <comment ref="A89" authorId="1" shapeId="0" xr:uid="{38A6562E-1BDE-4DB4-A585-B3BFFC4860E6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přehozen fond z roku 22 do 21 a navýšení akce o 27.280 z úvěru v roce 2021???</t>
        </r>
      </text>
    </comment>
    <comment ref="A91" authorId="1" shapeId="0" xr:uid="{19AB9BD6-353F-43D9-856B-2C9643D6A199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roce 22 a 23 jsem odmazala z nového úvěru 20 mil. A 13,5 mil.  - je to na akci výše</t>
        </r>
      </text>
    </comment>
    <comment ref="A104" authorId="2" shapeId="0" xr:uid="{6095FA67-A7D5-4C7B-BA15-328879B207F1}">
      <text>
        <r>
          <rPr>
            <sz val="9"/>
            <color indexed="81"/>
            <rFont val="Tahoma"/>
            <family val="2"/>
            <charset val="238"/>
          </rPr>
          <t xml:space="preserve">pokud bude realizováno, pravděpodobně celé z prostředků kraje!!!
</t>
        </r>
      </text>
    </comment>
    <comment ref="A112" authorId="1" shapeId="0" xr:uid="{78EB44BB-7A53-4650-B96F-2EA1D7BEAB6D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na listu akce mají upravený rozpočet 9/20 nulový, ale dle sestav je 2 mil.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Kotulová Ivona</author>
    <author>Staňková Petra</author>
    <author>Václavíková Radana</author>
  </authors>
  <commentList>
    <comment ref="A5" authorId="0" shapeId="0" xr:uid="{D76760CD-0EF7-49CC-9F7D-B3EF4B887F9F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bude znovu předloženo, Lískovec bude předložen do IROP (zpět rozpočet IM), v projetu ho nahradí silnice v obdobném objemu</t>
        </r>
      </text>
    </comment>
    <comment ref="A32" authorId="1" shapeId="0" xr:uid="{5969A9E0-5135-4D8C-AA39-C10AF8E2FF86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410.409 tis Kč; rok 2023 není doplněn???</t>
        </r>
      </text>
    </comment>
    <comment ref="A33" authorId="1" shapeId="0" xr:uid="{0A63B714-D53E-4509-890E-D22D3F8441B7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2.226.270 tis, ale rok 2023 není doplněn</t>
        </r>
      </text>
    </comment>
    <comment ref="A35" authorId="0" shapeId="0" xr:uid="{DB699521-09D0-411E-8C86-DBD29B035902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název:Zlepšenie dostupnosti kultúrnych pamiatok na Slovensko-českom pohraničí</t>
        </r>
      </text>
    </comment>
    <comment ref="A58" authorId="1" shapeId="0" xr:uid="{1F2F0F5E-D7CC-4AB3-AF40-C0C8AD4D8E91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změna mezi lety 21 a 22; zároveň je v lstu akce psaná dotace???</t>
        </r>
      </text>
    </comment>
    <comment ref="A65" authorId="0" shapeId="0" xr:uid="{5CCCC153-032D-4AF4-AE2D-1BB94BE38C27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projetk Podpora technických oborů</t>
        </r>
      </text>
    </comment>
    <comment ref="A89" authorId="1" shapeId="0" xr:uid="{3527EEE1-EB7B-4BB1-9B05-42729FC3CDD3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přehozen fond z roku 22 do 21 a navýšení akce o 27.280 z úvěru v roce 2021???</t>
        </r>
      </text>
    </comment>
    <comment ref="A91" authorId="1" shapeId="0" xr:uid="{083B8DEE-B9B0-4F30-AFEE-5E6516F0FA04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roce 22 a 23 jsem odmazala z nového úvěru 20 mil. A 13,5 mil.  - je to na akci výše</t>
        </r>
      </text>
    </comment>
    <comment ref="A104" authorId="2" shapeId="0" xr:uid="{3484D581-03DD-4FD3-8354-3044E55E23B2}">
      <text>
        <r>
          <rPr>
            <sz val="9"/>
            <color indexed="81"/>
            <rFont val="Tahoma"/>
            <family val="2"/>
            <charset val="238"/>
          </rPr>
          <t xml:space="preserve">pokud bude realizováno, pravděpodobně celé z prostředků kraje!!!
</t>
        </r>
      </text>
    </comment>
    <comment ref="A112" authorId="1" shapeId="0" xr:uid="{56689C0E-8565-40EE-813B-2E3D37ADF65F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na listu akce mají upravený rozpočet 9/20 nulový, ale dle sestav je 2 mil.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Kotulová Ivona</author>
    <author>Staňková Petra</author>
    <author>Václavíková Radana</author>
  </authors>
  <commentList>
    <comment ref="A5" authorId="0" shapeId="0" xr:uid="{1E02E943-0A3B-4381-A0D7-B616AC55AE43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bude znovu předloženo, Lískovec bude předložen do IROP (zpět rozpočet IM), v projetu ho nahradí silnice v obdobném objemu</t>
        </r>
      </text>
    </comment>
    <comment ref="A32" authorId="1" shapeId="0" xr:uid="{9F43C28D-3999-4557-BC39-7935D09A9F36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410.409 tis Kč; rok 2023 není doplněn???</t>
        </r>
      </text>
    </comment>
    <comment ref="A33" authorId="1" shapeId="0" xr:uid="{0A39B124-9392-48C7-9D3A-7B6A04AB400C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2.226.270 tis, ale rok 2023 není doplněn</t>
        </r>
      </text>
    </comment>
    <comment ref="A35" authorId="0" shapeId="0" xr:uid="{D97279D6-E756-4116-A281-7DD0C7DCE57F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název:Zlepšenie dostupnosti kultúrnych pamiatok na Slovensko-českom pohraničí</t>
        </r>
      </text>
    </comment>
    <comment ref="A58" authorId="1" shapeId="0" xr:uid="{1142C216-0864-4FA6-957B-2C9039AA9E06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změna mezi lety 21 a 22; zároveň je v lstu akce psaná dotace???</t>
        </r>
      </text>
    </comment>
    <comment ref="A65" authorId="0" shapeId="0" xr:uid="{8E3C3B37-FF33-4DBD-8C9D-F89D864C7245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projetk Podpora technických oborů</t>
        </r>
      </text>
    </comment>
    <comment ref="A89" authorId="1" shapeId="0" xr:uid="{6D3B3895-F526-4DA5-85C3-3D20811C5030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přehozen fond z roku 22 do 21 a navýšení akce o 27.280 z úvěru v roce 2021???</t>
        </r>
      </text>
    </comment>
    <comment ref="A91" authorId="1" shapeId="0" xr:uid="{64BF3763-25B4-4522-9999-542CA27D00F6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roce 22 a 23 jsem odmazala z nového úvěru 20 mil. A 13,5 mil.  - je to na akci výše</t>
        </r>
      </text>
    </comment>
    <comment ref="A104" authorId="2" shapeId="0" xr:uid="{DA553FBF-0407-45D5-B83A-367D95C93A59}">
      <text>
        <r>
          <rPr>
            <sz val="9"/>
            <color indexed="81"/>
            <rFont val="Tahoma"/>
            <family val="2"/>
            <charset val="238"/>
          </rPr>
          <t xml:space="preserve">pokud bude realizováno, pravděpodobně celé z prostředků kraje!!!
</t>
        </r>
      </text>
    </comment>
    <comment ref="A112" authorId="1" shapeId="0" xr:uid="{4D7776DC-D8BD-4CF0-8E45-327451FBC70D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na listu akce mají upravený rozpočet 9/20 nulový, ale dle sestav je 2 mil.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Kotulová Ivona</author>
    <author>Staňková Petra</author>
    <author>Václavíková Radana</author>
  </authors>
  <commentList>
    <comment ref="A5" authorId="0" shapeId="0" xr:uid="{F3B5CF87-15B0-4AE7-9784-72645D0D1FEA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bude znovu předloženo, Lískovec bude předložen do IROP (zpět rozpočet IM), v projetu ho nahradí silnice v obdobném objemu</t>
        </r>
      </text>
    </comment>
    <comment ref="A32" authorId="1" shapeId="0" xr:uid="{DC12E487-13F5-45D8-B92A-13785EEAF95E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410.409 tis Kč; rok 2023 není doplněn???</t>
        </r>
      </text>
    </comment>
    <comment ref="A33" authorId="1" shapeId="0" xr:uid="{E0BFF43E-462F-435C-B141-75CEF6A7097E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2.226.270 tis, ale rok 2023 není doplněn</t>
        </r>
      </text>
    </comment>
    <comment ref="A35" authorId="0" shapeId="0" xr:uid="{E0F33572-5976-4AE2-A093-A6EF20872BD2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název:Zlepšenie dostupnosti kultúrnych pamiatok na Slovensko-českom pohraničí</t>
        </r>
      </text>
    </comment>
    <comment ref="A58" authorId="1" shapeId="0" xr:uid="{3950DF28-ABA0-44A5-8DDC-F354E5BD7B41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změna mezi lety 21 a 22; zároveň je v lstu akce psaná dotace???</t>
        </r>
      </text>
    </comment>
    <comment ref="A65" authorId="0" shapeId="0" xr:uid="{B7E849CD-B536-4789-B3D1-5557DCAC2236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projetk Podpora technických oborů</t>
        </r>
      </text>
    </comment>
    <comment ref="A89" authorId="1" shapeId="0" xr:uid="{A83794E1-0E29-487B-841B-EBA3A37C5224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přehozen fond z roku 22 do 21 a navýšení akce o 27.280 z úvěru v roce 2021???</t>
        </r>
      </text>
    </comment>
    <comment ref="A91" authorId="1" shapeId="0" xr:uid="{CF23011E-D007-43AC-82AF-3BC73C008D7E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roce 22 a 23 jsem odmazala z nového úvěru 20 mil. A 13,5 mil.  - je to na akci výše</t>
        </r>
      </text>
    </comment>
    <comment ref="A104" authorId="2" shapeId="0" xr:uid="{B2BE4DAB-653F-42FB-BC1D-92B7726AA0AE}">
      <text>
        <r>
          <rPr>
            <sz val="9"/>
            <color indexed="81"/>
            <rFont val="Tahoma"/>
            <family val="2"/>
            <charset val="238"/>
          </rPr>
          <t xml:space="preserve">pokud bude realizováno, pravděpodobně celé z prostředků kraje!!!
</t>
        </r>
      </text>
    </comment>
    <comment ref="A110" authorId="1" shapeId="0" xr:uid="{D374BC6F-0B47-49F4-AB86-26203281AF85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na listu akce mají upravený rozpočet 9/20 nulový, ale dle sestav je 2 mil.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Kotulová Ivona</author>
    <author>Staňková Petra</author>
    <author>Václavíková Radana</author>
  </authors>
  <commentList>
    <comment ref="A5" authorId="0" shapeId="0" xr:uid="{F8A1A707-FE9B-47FD-9802-1D701551CDAA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bude znovu předloženo, Lískovec bude předložen do IROP (zpět rozpočet IM), v projetu ho nahradí silnice v obdobném objemu</t>
        </r>
      </text>
    </comment>
    <comment ref="A32" authorId="1" shapeId="0" xr:uid="{0E71ACE1-4A42-4E25-919E-D94B10B10B87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410.409 tis Kč; rok 2023 není doplněn???</t>
        </r>
      </text>
    </comment>
    <comment ref="A33" authorId="1" shapeId="0" xr:uid="{2C2BB905-F000-4020-A1A0-25170F73A8FE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2.226.270 tis, ale rok 2023 není doplněn</t>
        </r>
      </text>
    </comment>
    <comment ref="A35" authorId="0" shapeId="0" xr:uid="{3F9FD08F-E6CC-4826-B633-EB8DD763C058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název:Zlepšenie dostupnosti kultúrnych pamiatok na Slovensko-českom pohraničí</t>
        </r>
      </text>
    </comment>
    <comment ref="A58" authorId="1" shapeId="0" xr:uid="{503B31B3-8293-4858-97E3-34562D39C397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změna mezi lety 21 a 22; zároveň je v lstu akce psaná dotace???</t>
        </r>
      </text>
    </comment>
    <comment ref="A65" authorId="0" shapeId="0" xr:uid="{1844F0D0-F5B5-4A4C-A7D6-2BB0CE7ADA99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projetk Podpora technických oborů</t>
        </r>
      </text>
    </comment>
    <comment ref="A89" authorId="1" shapeId="0" xr:uid="{7B64F139-F99E-43F4-A979-95991215B624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přehozen fond z roku 22 do 21 a navýšení akce o 27.280 z úvěru v roce 2021???</t>
        </r>
      </text>
    </comment>
    <comment ref="A91" authorId="1" shapeId="0" xr:uid="{614A2A41-3D67-4489-BC1B-63801FFDF077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roce 22 a 23 jsem odmazala z nového úvěru 20 mil. A 13,5 mil.  - je to na akci výše</t>
        </r>
      </text>
    </comment>
    <comment ref="A104" authorId="2" shapeId="0" xr:uid="{9030DE1A-E4B8-4B0B-8711-37B8122F6BAC}">
      <text>
        <r>
          <rPr>
            <sz val="9"/>
            <color indexed="81"/>
            <rFont val="Tahoma"/>
            <family val="2"/>
            <charset val="238"/>
          </rPr>
          <t xml:space="preserve">pokud bude realizováno, pravděpodobně celé z prostředků kraje!!!
</t>
        </r>
      </text>
    </comment>
    <comment ref="A110" authorId="1" shapeId="0" xr:uid="{F88374D5-7DE8-4636-9C10-6BA4CEDB7CDD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na listu akce mají upravený rozpočet 9/20 nulový, ale dle sestav je 2 mil.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Kotulová Ivona</author>
    <author>Staňková Petra</author>
    <author>Václavíková Radana</author>
  </authors>
  <commentList>
    <comment ref="A5" authorId="0" shapeId="0" xr:uid="{516E080B-897A-4B13-B489-DD81120218BC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bude znovu předloženo, Lískovec bude předložen do IROP (zpět rozpočet IM), v projetu ho nahradí silnice v obdobném objemu</t>
        </r>
      </text>
    </comment>
    <comment ref="A32" authorId="1" shapeId="0" xr:uid="{3789BD31-80C6-43E8-9B93-32B172C7FE67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410.409 tis Kč; rok 2023 není doplněn???</t>
        </r>
      </text>
    </comment>
    <comment ref="A33" authorId="1" shapeId="0" xr:uid="{24802908-5AA2-465E-8808-80749D654CBA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2.226.270 tis, ale rok 2023 není doplněn</t>
        </r>
      </text>
    </comment>
    <comment ref="A35" authorId="0" shapeId="0" xr:uid="{532365B3-5C0B-42B6-A085-A991B777838C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název:Zlepšenie dostupnosti kultúrnych pamiatok na Slovensko-českom pohraničí</t>
        </r>
      </text>
    </comment>
    <comment ref="A58" authorId="1" shapeId="0" xr:uid="{D9753B42-5B69-40CC-AF05-0F698AD1540F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změna mezi lety 21 a 22; zároveň je v lstu akce psaná dotace???</t>
        </r>
      </text>
    </comment>
    <comment ref="A65" authorId="0" shapeId="0" xr:uid="{95F00E06-ED17-4929-A957-9DA1D93090E7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projetk Podpora technických oborů</t>
        </r>
      </text>
    </comment>
    <comment ref="A89" authorId="1" shapeId="0" xr:uid="{73D6A48D-5350-4021-8543-8B6966EF4AF6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přehozen fond z roku 22 do 21 a navýšení akce o 27.280 z úvěru v roce 2021???</t>
        </r>
      </text>
    </comment>
    <comment ref="A91" authorId="1" shapeId="0" xr:uid="{E5CAD3C2-C8A7-4B68-B803-F693F1D8D83A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roce 22 a 23 jsem odmazala z nového úvěru 20 mil. A 13,5 mil.  - je to na akci výše</t>
        </r>
      </text>
    </comment>
    <comment ref="A104" authorId="2" shapeId="0" xr:uid="{69F66222-96C6-4FB3-B9A2-C67B3D34EBC5}">
      <text>
        <r>
          <rPr>
            <sz val="9"/>
            <color indexed="81"/>
            <rFont val="Tahoma"/>
            <family val="2"/>
            <charset val="238"/>
          </rPr>
          <t xml:space="preserve">pokud bude realizováno, pravděpodobně celé z prostředků kraje!!!
</t>
        </r>
      </text>
    </comment>
    <comment ref="A112" authorId="1" shapeId="0" xr:uid="{B20BEC4C-B4FC-4160-8905-6AD140C6BA41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na listu akce mají upravený rozpočet 9/20 nulový, ale dle sestav je 2 mil.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Kotulová Ivona</author>
    <author>Staňková Petra</author>
    <author>Václavíková Radana</author>
  </authors>
  <commentList>
    <comment ref="A5" authorId="0" shapeId="0" xr:uid="{366D75BD-5857-49B3-8EA9-6A6830FF7136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bude znovu předloženo, Lískovec bude předložen do IROP (zpět rozpočet IM), v projetu ho nahradí silnice v obdobném objemu</t>
        </r>
      </text>
    </comment>
    <comment ref="A33" authorId="1" shapeId="0" xr:uid="{1A5BEF86-7BA7-4CD2-B4E1-CDBE350B0576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410.409 tis Kč; rok 2023 není doplněn???</t>
        </r>
      </text>
    </comment>
    <comment ref="A34" authorId="1" shapeId="0" xr:uid="{F60CB720-EFD1-43CE-9010-631966E6BD5A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2.226.270 tis, ale rok 2023 není doplněn</t>
        </r>
      </text>
    </comment>
    <comment ref="A36" authorId="0" shapeId="0" xr:uid="{D43CC848-F97B-4861-973B-08736DEB3E80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název:Zlepšenie dostupnosti kultúrnych pamiatok na Slovensko-českom pohraničí</t>
        </r>
      </text>
    </comment>
    <comment ref="A59" authorId="1" shapeId="0" xr:uid="{A212E9B6-2677-47BA-A86A-866302082F69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změna mezi lety 21 a 22; zároveň je v lstu akce psaná dotace???</t>
        </r>
      </text>
    </comment>
    <comment ref="A67" authorId="0" shapeId="0" xr:uid="{6721D913-3CEC-475A-B052-1A58B86AE6DC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projetk Podpora technických oborů</t>
        </r>
      </text>
    </comment>
    <comment ref="A91" authorId="1" shapeId="0" xr:uid="{BA5FACDF-3B1B-4577-8A7E-A186FB6B668B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přehozen fond z roku 22 do 21 a navýšení akce o 27.280 z úvěru v roce 2021???</t>
        </r>
      </text>
    </comment>
    <comment ref="A93" authorId="1" shapeId="0" xr:uid="{714D4BA4-5D05-4A36-ACC4-C10A2A3F95FE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roce 22 a 23 jsem odmazala z nového úvěru 20 mil. A 13,5 mil.  - je to na akci výše</t>
        </r>
      </text>
    </comment>
    <comment ref="A107" authorId="2" shapeId="0" xr:uid="{1E3F86CB-E511-4EC5-94FC-025264AB6966}">
      <text>
        <r>
          <rPr>
            <sz val="9"/>
            <color indexed="81"/>
            <rFont val="Tahoma"/>
            <family val="2"/>
            <charset val="238"/>
          </rPr>
          <t xml:space="preserve">pokud bude realizováno, pravděpodobně celé z prostředků kraje!!!
</t>
        </r>
      </text>
    </comment>
    <comment ref="A115" authorId="1" shapeId="0" xr:uid="{ED99D399-F020-4BF3-849D-DF7CA04CD9D1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na listu akce mají upravený rozpočet 9/20 nulový, ale dle sestav je 2 mil.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Kotulová Ivona</author>
    <author>Staňková Petra</author>
    <author>Václavíková Radana</author>
  </authors>
  <commentList>
    <comment ref="A5" authorId="0" shapeId="0" xr:uid="{62ADB126-31C0-44C8-B8D9-739B5C538C18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bude znovu předloženo, Lískovec bude předložen do IROP (zpět rozpočet IM), v projetu ho nahradí silnice v obdobném objemu</t>
        </r>
      </text>
    </comment>
    <comment ref="A33" authorId="1" shapeId="0" xr:uid="{16DD1235-9950-4441-9223-B7C35F3B74D7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410.409 tis Kč; rok 2023 není doplněn???</t>
        </r>
      </text>
    </comment>
    <comment ref="A34" authorId="1" shapeId="0" xr:uid="{64DDB401-D0EF-48F5-B9D3-9F1B90A7A423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2.226.270 tis, ale rok 2023 není doplněn</t>
        </r>
      </text>
    </comment>
    <comment ref="A36" authorId="0" shapeId="0" xr:uid="{8404001C-E8AA-4263-BCD1-16E6B3372AF4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název:Zlepšenie dostupnosti kultúrnych pamiatok na Slovensko-českom pohraničí</t>
        </r>
      </text>
    </comment>
    <comment ref="A61" authorId="1" shapeId="0" xr:uid="{D1325710-57C6-4899-85F0-9CCD2F46BEEF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změna mezi lety 21 a 22; zároveň je v lstu akce psaná dotace???</t>
        </r>
      </text>
    </comment>
    <comment ref="A67" authorId="0" shapeId="0" xr:uid="{8EAE39C5-F9A7-4B5C-BC6E-63818574AAAD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projetk Podpora technických oborů</t>
        </r>
      </text>
    </comment>
    <comment ref="A91" authorId="1" shapeId="0" xr:uid="{F9A5174C-0678-436C-8758-14AEE8D903DF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přehozen fond z roku 22 do 21 a navýšení akce o 27.280 z úvěru v roce 2021???</t>
        </r>
      </text>
    </comment>
    <comment ref="A93" authorId="1" shapeId="0" xr:uid="{8D189715-FFE5-4EAE-9FB4-7DD0168D6139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roce 22 a 23 jsem odmazala z nového úvěru 20 mil. A 13,5 mil.  - je to na akci výše</t>
        </r>
      </text>
    </comment>
    <comment ref="A107" authorId="2" shapeId="0" xr:uid="{69885407-BE09-405C-A88A-AD70E62F9F7C}">
      <text>
        <r>
          <rPr>
            <sz val="9"/>
            <color indexed="81"/>
            <rFont val="Tahoma"/>
            <family val="2"/>
            <charset val="238"/>
          </rPr>
          <t xml:space="preserve">pokud bude realizováno, pravděpodobně celé z prostředků kraje!!!
</t>
        </r>
      </text>
    </comment>
    <comment ref="A115" authorId="1" shapeId="0" xr:uid="{A789F1DB-926F-414A-B6BE-E493BA16AEB4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na listu akce mají upravený rozpočet 9/20 nulový, ale dle sestav je 2 mil.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Kotulová Ivona</author>
    <author>Staňková Petra</author>
    <author>Václavíková Radana</author>
  </authors>
  <commentList>
    <comment ref="A5" authorId="0" shapeId="0" xr:uid="{310F094B-AC85-47F5-BBFA-A16FE943C401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bude znovu předloženo, Lískovec bude předložen do IROP (zpět rozpočet IM), v projetu ho nahradí silnice v obdobném objemu</t>
        </r>
      </text>
    </comment>
    <comment ref="A33" authorId="1" shapeId="0" xr:uid="{20BDB938-F082-4100-8E8B-E601D26A7965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410.409 tis Kč; rok 2023 není doplněn???</t>
        </r>
      </text>
    </comment>
    <comment ref="A34" authorId="1" shapeId="0" xr:uid="{D90FB3FF-6D4C-4045-B515-C2B35ED2DEB4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2.226.270 tis, ale rok 2023 není doplněn</t>
        </r>
      </text>
    </comment>
    <comment ref="A36" authorId="0" shapeId="0" xr:uid="{44295CE8-E0C9-4F32-B026-BB00DC0D43DE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název:Zlepšenie dostupnosti kultúrnych pamiatok na Slovensko-českom pohraničí</t>
        </r>
      </text>
    </comment>
    <comment ref="A61" authorId="1" shapeId="0" xr:uid="{1FCA1A47-CFDA-409A-AF65-FCED81F575D5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změna mezi lety 21 a 22; zároveň je v lstu akce psaná dotace???</t>
        </r>
      </text>
    </comment>
    <comment ref="A67" authorId="0" shapeId="0" xr:uid="{CD351DE6-985E-402E-8CC4-838FA88D57CE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projetk Podpora technických oborů</t>
        </r>
      </text>
    </comment>
    <comment ref="A91" authorId="1" shapeId="0" xr:uid="{72C16DF3-D877-47EC-B23B-7B7410194FE5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přehozen fond z roku 22 do 21 a navýšení akce o 27.280 z úvěru v roce 2021???</t>
        </r>
      </text>
    </comment>
    <comment ref="A93" authorId="1" shapeId="0" xr:uid="{D2E888E8-6019-4FDE-8BEE-94B0DC9D42DB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roce 22 a 23 jsem odmazala z nového úvěru 20 mil. A 13,5 mil.  - je to na akci výše</t>
        </r>
      </text>
    </comment>
    <comment ref="A107" authorId="2" shapeId="0" xr:uid="{3D3C6EA6-3014-4FC7-9469-17296EA70A53}">
      <text>
        <r>
          <rPr>
            <sz val="9"/>
            <color indexed="81"/>
            <rFont val="Tahoma"/>
            <family val="2"/>
            <charset val="238"/>
          </rPr>
          <t xml:space="preserve">pokud bude realizováno, pravděpodobně celé z prostředků kraje!!!
</t>
        </r>
      </text>
    </comment>
    <comment ref="A115" authorId="1" shapeId="0" xr:uid="{31E5791F-33B4-4995-874D-84E70EF49B4F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na listu akce mají upravený rozpočet 9/20 nulový, ale dle sestav je 2 mil.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Kotulová Ivona</author>
    <author>Staňková Petra</author>
    <author>Václavíková Radana</author>
  </authors>
  <commentList>
    <comment ref="A6" authorId="0" shapeId="0" xr:uid="{08CFF7FD-275B-4FAF-A3F7-1F007CA3C80B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bude znovu předloženo, Lískovec bude předložen do IROP (zpět rozpočet IM), v projetu ho nahradí silnice v obdobném objemu</t>
        </r>
      </text>
    </comment>
    <comment ref="A35" authorId="1" shapeId="0" xr:uid="{B3CEC4FC-C8E4-479E-B776-1023C7F5A1AC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410.409 tis Kč; rok 2023 není doplněn???</t>
        </r>
      </text>
    </comment>
    <comment ref="A36" authorId="1" shapeId="0" xr:uid="{A816366B-A0F5-43AE-B742-40CB46C65788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2.226.270 tis, ale rok 2023 není doplněn</t>
        </r>
      </text>
    </comment>
    <comment ref="A38" authorId="0" shapeId="0" xr:uid="{98948DFD-545A-49CB-8248-2D45FAB39219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název:Zlepšenie dostupnosti kultúrnych pamiatok na Slovensko-českom pohraničí</t>
        </r>
      </text>
    </comment>
    <comment ref="A66" authorId="1" shapeId="0" xr:uid="{99DB54CA-8FA2-4201-830D-F45143FCE5F8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změna mezi lety 21 a 22; zároveň je v lstu akce psaná dotace???</t>
        </r>
      </text>
    </comment>
    <comment ref="A72" authorId="0" shapeId="0" xr:uid="{3368271B-CF52-45BD-9886-4E4369EA0B09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projetk Podpora technických oborů</t>
        </r>
      </text>
    </comment>
    <comment ref="A98" authorId="1" shapeId="0" xr:uid="{78B24547-5027-4E42-A5AD-3E5BBCFB3239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přehozen fond z roku 22 do 21 a navýšení akce o 27.280 z úvěru v roce 2021???</t>
        </r>
      </text>
    </comment>
    <comment ref="A100" authorId="1" shapeId="0" xr:uid="{BB736628-7D5C-4A82-9095-F015CF30697A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roce 22 a 23 jsem odmazala z nového úvěru 20 mil. A 13,5 mil.  - je to na akci výše</t>
        </r>
      </text>
    </comment>
    <comment ref="A120" authorId="2" shapeId="0" xr:uid="{8A8E829D-8A95-4825-BD73-F5817973B9DE}">
      <text>
        <r>
          <rPr>
            <sz val="9"/>
            <color indexed="81"/>
            <rFont val="Tahoma"/>
            <family val="2"/>
            <charset val="238"/>
          </rPr>
          <t xml:space="preserve">pokud bude realizováno, pravděpodobně celé z prostředků kraje!!!
</t>
        </r>
      </text>
    </comment>
    <comment ref="A130" authorId="1" shapeId="0" xr:uid="{842FF820-D0EB-4FE9-96CA-50097B4048A4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na listu akce mají upravený rozpočet 9/20 nulový, ale dle sestav je 2 mil.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Kotulová Ivona</author>
    <author>Staňková Petra</author>
    <author>Václavíková Radana</author>
  </authors>
  <commentList>
    <comment ref="A6" authorId="0" shapeId="0" xr:uid="{13E4BCB7-782E-40B6-8BE8-A5E3B6A370D4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bude znovu předloženo, Lískovec bude předložen do IROP (zpět rozpočet IM), v projetu ho nahradí silnice v obdobném objemu</t>
        </r>
      </text>
    </comment>
    <comment ref="A35" authorId="1" shapeId="0" xr:uid="{0A543DBB-8C75-4727-ACFF-DD6818447566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410.409 tis Kč; rok 2023 není doplněn???</t>
        </r>
      </text>
    </comment>
    <comment ref="A36" authorId="1" shapeId="0" xr:uid="{499DE3FB-AC7C-40E4-BE1D-DE4A04ADE4F6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listu akce mají celkové náklady 2.226.270 tis, ale rok 2023 není doplněn</t>
        </r>
      </text>
    </comment>
    <comment ref="A38" authorId="0" shapeId="0" xr:uid="{5B423D8C-FE6A-4AD6-B016-E08F745FBC4B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název:Zlepšenie dostupnosti kultúrnych pamiatok na Slovensko-českom pohraničí</t>
        </r>
      </text>
    </comment>
    <comment ref="A66" authorId="1" shapeId="0" xr:uid="{E5691B97-3138-4D58-84DE-1C5C15845122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změna mezi lety 21 a 22; zároveň je v lstu akce psaná dotace???</t>
        </r>
      </text>
    </comment>
    <comment ref="A72" authorId="0" shapeId="0" xr:uid="{DFBA1821-91C0-46D1-8CD0-CE6ABA7C8DF5}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projetk Podpora technických oborů</t>
        </r>
      </text>
    </comment>
    <comment ref="A98" authorId="1" shapeId="0" xr:uid="{72BD4F91-9FEE-4F25-93E9-03CA86EC61A6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přehozen fond z roku 22 do 21 a navýšení akce o 27.280 z úvěru v roce 2021???</t>
        </r>
      </text>
    </comment>
    <comment ref="A100" authorId="1" shapeId="0" xr:uid="{19DC0ECE-776E-4CD7-97E3-7B779705EBCA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V roce 22 a 23 jsem odmazala z nového úvěru 20 mil. A 13,5 mil.  - je to na akci výše</t>
        </r>
      </text>
    </comment>
    <comment ref="A120" authorId="2" shapeId="0" xr:uid="{B4A0874B-8881-472E-BCED-6E7B885B7484}">
      <text>
        <r>
          <rPr>
            <sz val="9"/>
            <color indexed="81"/>
            <rFont val="Tahoma"/>
            <family val="2"/>
            <charset val="238"/>
          </rPr>
          <t xml:space="preserve">pokud bude realizováno, pravděpodobně celé z prostředků kraje!!!
</t>
        </r>
      </text>
    </comment>
    <comment ref="A130" authorId="1" shapeId="0" xr:uid="{1FC24120-5468-43F3-8AA0-41379BF446A7}">
      <text>
        <r>
          <rPr>
            <b/>
            <sz val="9"/>
            <color indexed="81"/>
            <rFont val="Tahoma"/>
            <family val="2"/>
            <charset val="238"/>
          </rPr>
          <t>Staňková Petra:</t>
        </r>
        <r>
          <rPr>
            <sz val="9"/>
            <color indexed="81"/>
            <rFont val="Tahoma"/>
            <family val="2"/>
            <charset val="238"/>
          </rPr>
          <t xml:space="preserve">
na listu akce mají upravený rozpočet 9/20 nulový, ale dle sestav je 2 mil.</t>
        </r>
      </text>
    </comment>
  </commentList>
</comments>
</file>

<file path=xl/sharedStrings.xml><?xml version="1.0" encoding="utf-8"?>
<sst xmlns="http://schemas.openxmlformats.org/spreadsheetml/2006/main" count="3352" uniqueCount="420">
  <si>
    <t>Název akce</t>
  </si>
  <si>
    <t>Novostavba objektu depozitáře</t>
  </si>
  <si>
    <t>Přístavba Domu umění - Galerie 21. století</t>
  </si>
  <si>
    <t xml:space="preserve">Zámek Nová Horka - dobudování infrastruktury </t>
  </si>
  <si>
    <t xml:space="preserve">Zámek Bruntál - revitalizace objektu </t>
  </si>
  <si>
    <t xml:space="preserve">Novostavba Moravskoslezské vědecké knihovny </t>
  </si>
  <si>
    <t>výdaje celkem</t>
  </si>
  <si>
    <t>Vybudování dílen pro praktické vyučování</t>
  </si>
  <si>
    <t>Rekonstrukce objektů Polského gymnázia</t>
  </si>
  <si>
    <t>Rekultivace vnitrobloku a zpevněné plochy</t>
  </si>
  <si>
    <t>Modernizace Školního statku v Opavě</t>
  </si>
  <si>
    <t>Rekonstrukce školní kuchyně a výdejny</t>
  </si>
  <si>
    <t>Rekonstrukce objektu na ul .B. Němcové, Opava</t>
  </si>
  <si>
    <t>Rekonstrukce elektroinstalace hlavní budovy školy</t>
  </si>
  <si>
    <t>Rekonstrukce objektu SŠ a domova mládeže</t>
  </si>
  <si>
    <t>Rekonstrukce budovy na ulici Praskova čp. 411 v Opavě</t>
  </si>
  <si>
    <t>Sportovní areál na ul. Komenského, Opava</t>
  </si>
  <si>
    <t xml:space="preserve">Demolice budov a výstavba sportoviště </t>
  </si>
  <si>
    <t>Rekonstrukce elektroinstalace</t>
  </si>
  <si>
    <t>Přístavba a nástavba rehabilitace</t>
  </si>
  <si>
    <t>Pavilon L - stavební úpravy</t>
  </si>
  <si>
    <t>Nemocnice Havířov - ČOV</t>
  </si>
  <si>
    <t>Rekonstrukce elektroinstalace Orlová</t>
  </si>
  <si>
    <t>Výstavba domova pro seniory a domova se zvláštním režimem Kopřivnice</t>
  </si>
  <si>
    <t>Rekonstrukce budovy a spojovací chodby Máchova</t>
  </si>
  <si>
    <t>Rekonstrukce vzletové a přistávací dráhy a navazujících provozních ploch Letiště Leoše Janáčka Ostrava – projektová dokumentace</t>
  </si>
  <si>
    <t>Výstavba odbavovací plochy APN S3 – projektová dokumentace</t>
  </si>
  <si>
    <t>odvětví kultury celkem</t>
  </si>
  <si>
    <t>odvětví školství celkem</t>
  </si>
  <si>
    <t>odvětví zdravotnictví celkem</t>
  </si>
  <si>
    <t>odvětví sociálních věcí celkem</t>
  </si>
  <si>
    <t>odvětví dopravy celkem</t>
  </si>
  <si>
    <t>odvětví životního prostředí celkem</t>
  </si>
  <si>
    <t>FSP</t>
  </si>
  <si>
    <t>Stavební úpravy části školy pro potřeby Vzdělávacího a výcvikového střediska a umístění sídla Správy silnic MSK v Ostravě-Zábřeh</t>
  </si>
  <si>
    <t>Rekonstrukce cvičné stávající kuchyně v prostorách Tyršova 34, Opava</t>
  </si>
  <si>
    <t>Úvěr UCB na vlastní podíl</t>
  </si>
  <si>
    <t>Rekonstrukce silnice II/477 Frýdek - Místek - Lískovec</t>
  </si>
  <si>
    <t>Silnice III/4787 Ostrava ul. Výškovická – rekonstrukce mostů ev. č. 4787-3.3 a 4787-4.3</t>
  </si>
  <si>
    <t>Silnice II/442 Staré Heřminovy – Horní Benešov, včetně OZ</t>
  </si>
  <si>
    <t>Rekonstrukce a modernizace silnice II/479 Ostrava, ul. Opavská</t>
  </si>
  <si>
    <t xml:space="preserve">Nové vedení trasy silnice III/4848, ul. Palkovická, Frýdek - Místek </t>
  </si>
  <si>
    <t xml:space="preserve">Rekonstrukce a modernizace silnice II/457 Sádek – Osoblaha – hr. Polsko </t>
  </si>
  <si>
    <t xml:space="preserve">Rekonstrukce a modernizace silnice II/478 Klimkovice – Polanka nad Odrou – Stará Bělá </t>
  </si>
  <si>
    <t>Rekonstrukce a modernizace sil. II/475 Stonava průtah II.</t>
  </si>
  <si>
    <t>Rekonstrukce a modernizace sil. II/479 ul. Těšínská II. etapa</t>
  </si>
  <si>
    <t xml:space="preserve">Rekonstrukce silnice III/47811, II/478 Ostrava, ulice Mitrovická </t>
  </si>
  <si>
    <t>Rekonstrukce silnice II/462 Jelenice – Lesní Albrechtice</t>
  </si>
  <si>
    <t>Silnice II/445 hranice Olomouckého kraje - Stránské</t>
  </si>
  <si>
    <t>Rekonstrukce a modernizace sil. II/442 VD Kružberk – Svatoňovice – Čermná ve Slezsku</t>
  </si>
  <si>
    <t xml:space="preserve">Rekonstrukce silnice II/445 Vrbno p. P. - Heřmanovice, vč. mostu ev. č. 445-032 přes řeku Opavu ve Vrbně pod Pradědem </t>
  </si>
  <si>
    <t>Rekonstrukce silnic II/445 a II/370, vč. mostu ev. č 370-019 přes Podolský potok</t>
  </si>
  <si>
    <t>Rekonstrukce silnice II/483 - průtah Frenštátem p.R. - hr. okr. FM</t>
  </si>
  <si>
    <t>Rekonstrukce silnice II/483, vč. mostu ev.č. 483-001 přes potok Zrzávka v obci Hodslavice</t>
  </si>
  <si>
    <t>Modernizace silnice II/477, II/647 Ostrava, ul. Bohumínská - III. Etapa</t>
  </si>
  <si>
    <t>Silnice II/479 Ostrava, ulice Opavská, mosty 479-004 přes vodní tok Odra</t>
  </si>
  <si>
    <t>Silnice II/478 - rekonstrukce mostu ev.č. 478-008 přes Odru na Lukách v Polance nad Odrou</t>
  </si>
  <si>
    <t>Modernizace silnice II/473 Šenov - Frýdek-Místek</t>
  </si>
  <si>
    <t>Energetické úspory SSMSK - středisko Frýdek-Místek</t>
  </si>
  <si>
    <t>Energetické úspory SSMSK - CM Odry</t>
  </si>
  <si>
    <t>Energetické úspory SSMSK - SM Rýmařov</t>
  </si>
  <si>
    <t xml:space="preserve">Památník J. A. Komenského ve Fulneku - živé muzeum </t>
  </si>
  <si>
    <t>NKP Zámek Bruntál - Revitalizace objektu „saly terreny</t>
  </si>
  <si>
    <t>Revitalizace zámku ve Frýdku včetně obnovy expozice</t>
  </si>
  <si>
    <t>Rekonstrukce výstavní budovy a nová expozice Muzea Těšínska</t>
  </si>
  <si>
    <t>Muzeum automobilů TATRA</t>
  </si>
  <si>
    <t>Zámek Nová Horka - muzeum pro veřejnost</t>
  </si>
  <si>
    <t>Zámek Nová Horka - Muzeum pro veřejnost II.</t>
  </si>
  <si>
    <t>Vybudování expozice muzea Těšínska v Jablunkově "Muzeum Trojmezí"</t>
  </si>
  <si>
    <t>Domov pro osoby se zdravotním postižením organizace Sagapo v Bruntále</t>
  </si>
  <si>
    <t>Chráněné bydlení organizace Sagapo v Bruntále</t>
  </si>
  <si>
    <t>Sociálně terapeutické dílny a zázemí pro vedení organizace Sagapo v Bruntále</t>
  </si>
  <si>
    <t>Sociální služby pro osoby s duševním onemocněním v Suchdolu nad Odrou</t>
  </si>
  <si>
    <t>Rekonstrukce a výstavba Domova Březiny</t>
  </si>
  <si>
    <t>Zateplení a stavební úpravy správní budovy, pavilonu E a F Domova Březiny</t>
  </si>
  <si>
    <t>Domov pro osoby se zdravotním postižením Harmonie, p. o.</t>
  </si>
  <si>
    <t>Energetické úspory DC Čtyřlístek – Havířov</t>
  </si>
  <si>
    <t>Budova dílen pro obor Opravář zemědělských strojů ve Střední odborné škole Bruntál</t>
  </si>
  <si>
    <t>Energetické úspory ve SŠ technické v Opavě</t>
  </si>
  <si>
    <t xml:space="preserve">Energetické úspory v areálu  Dětského domova SRDCE a SŠ, ZŠ a MŠ v Karviné </t>
  </si>
  <si>
    <t>Energetické úspory Mendelova gymnázia v Opavě</t>
  </si>
  <si>
    <t>Energetické úspory ve SŠ služeb a podnikání Ostrava-Poruba (tělocvična)</t>
  </si>
  <si>
    <t>Energetické úspory v MSŠZe a VOŠ Opava - tělocvična</t>
  </si>
  <si>
    <t>Energetické úspory v SOŠ dopravy a cestovního ruchu Krnov</t>
  </si>
  <si>
    <t>Energetické úspory v ZŠ speciální Slezská Ostrava</t>
  </si>
  <si>
    <t>Energetické úspory v ZŠ Čkalovova</t>
  </si>
  <si>
    <t>Energetické úspory v Dětském domově Úsměv</t>
  </si>
  <si>
    <t>Energetické úspory v ZUŠ L. Janáčka Havířov</t>
  </si>
  <si>
    <t>Energetické úspory ve VOŠ zdravotnická Ostrava</t>
  </si>
  <si>
    <t>Energetické úspory v ZUŠ Klimkovice</t>
  </si>
  <si>
    <t>Energeticky úsporná opatření - Mendelova SŠ</t>
  </si>
  <si>
    <t>Výstavba výjezdového stanoviště v Novém Jičíně</t>
  </si>
  <si>
    <t>Modernizace technicko-výcvikové základny Hranečník</t>
  </si>
  <si>
    <t>odvětví krizové řízení</t>
  </si>
  <si>
    <t>Geoportál MSK - část dopravní infrastruktura</t>
  </si>
  <si>
    <t>Dynamický dopravní dispečink</t>
  </si>
  <si>
    <t>Zvýšení přístupnosti a bezpečnosti ke kulturním památkám v česko-slovenském pohraničí</t>
  </si>
  <si>
    <t>Silnice II/478 prodloužená Mostní I. etapa</t>
  </si>
  <si>
    <t>Rozvoj ICT a služeb v prostředí IZS</t>
  </si>
  <si>
    <t>Zkvalitnění lokálního monitorovacího a varovného protipovodňového systému na území MSK</t>
  </si>
  <si>
    <t>Vybudování komunikační platformy krizového řízení</t>
  </si>
  <si>
    <t>Zlepšenie dostupnosti kultúrnych pamiatok na slovenskej a českej strane</t>
  </si>
  <si>
    <t>Modernizace výuky informačních technologií II</t>
  </si>
  <si>
    <t>Moderní metody pěstování rostlin</t>
  </si>
  <si>
    <t>Podpora technických a řemeslných oborů v MSK</t>
  </si>
  <si>
    <t>Přírodní vědy v technických oborech</t>
  </si>
  <si>
    <t>Specializované laboratoře na SPŠ chemické akad. Heyrovského v Ostravě</t>
  </si>
  <si>
    <t>Výuka pro Průmysl 4.0 II</t>
  </si>
  <si>
    <t>Aditivní technologie a 3D tisk do škol MSK</t>
  </si>
  <si>
    <t>IP LIFE for Coal Mining Landscape Adaptation</t>
  </si>
  <si>
    <t>Revitalizace EVL Děhylovský potok - Štěpán</t>
  </si>
  <si>
    <t>Digitální technická mapa Moravskoslezského kraje</t>
  </si>
  <si>
    <t>Celkem Územní plánování</t>
  </si>
  <si>
    <t>rok 2021</t>
  </si>
  <si>
    <t>rok 2022</t>
  </si>
  <si>
    <t>rok 2023</t>
  </si>
  <si>
    <t>rok 2024</t>
  </si>
  <si>
    <t>Návratná finanční výpomoc příspěvkovým organizacím v odvětví kultury (Muzeum Šipka - expozice archeologie a geologie Štramberku)</t>
  </si>
  <si>
    <t>Toulky údolím Olše (Muzeum Těšínska, příspěvková organizace)</t>
  </si>
  <si>
    <t>NFV - Světlo památkám. Odhalené dědictví polsko-českého pohraničí (Muzem Bruntál)</t>
  </si>
  <si>
    <t xml:space="preserve">Modernizace vybavení pro obory návazné péče v NsP Havířov, p.o. </t>
  </si>
  <si>
    <t>Modernizace a rekonstrukce pavilonu (oddělení) psychiatrie Nemocnice s poliklinikou Havířov, p.o.</t>
  </si>
  <si>
    <t>Modernizace vybavení pro obory návazné péče v Nemocnici s poliklinikou Karviná, p. o.</t>
  </si>
  <si>
    <t>Modernizace vybavení pro obory návazné péče v Nemocnici ve Frýdku-Místku, p. o.</t>
  </si>
  <si>
    <t>Modernizace vybavení pro obory návazné péče ve Slezské nemocnici v Opavě, p. o.</t>
  </si>
  <si>
    <t>Modernizace vybavení pro obory návazné péče ve Sdruženém zdravotnickém zařízení Krnov, p. o.</t>
  </si>
  <si>
    <t>Modernizace vybavení pro obory návazné péče v Nemocnici Třinec, p.o.</t>
  </si>
  <si>
    <t>Návratná finanční výpomoc příspěvkovým organizacím v odvětví kultury (Zefektivnění ochrany knihovního fondu Moravskoslezské vědecké knihovny v Ostravě)</t>
  </si>
  <si>
    <t>Projekt "Modernizace vybavení pro obory návazné péče - část  1.2"/ IROP</t>
  </si>
  <si>
    <t>Sdružené zdravotnické zařízení Krnov, p.o.</t>
  </si>
  <si>
    <t>Slezská nemocnice v Opavě, p.o.</t>
  </si>
  <si>
    <t>Nemocnice ve Frýdku-Místku, p.o.</t>
  </si>
  <si>
    <t>Nemocnice Třinec, p.o.</t>
  </si>
  <si>
    <t>Nemocnice s poliklinikou Havířov, p.o.</t>
  </si>
  <si>
    <t>Nemocnice s poliklinikou Karviná - Ráj, p.o., p.o.</t>
  </si>
  <si>
    <t>„Zvýšení zabezpečení informačních systémů, výpočetních středisek a síťové komunikace v nemocnici“ - IROP 10 - Kybernetická bezpečnos</t>
  </si>
  <si>
    <t>Nemocnice ve Frýdku-Místku, p.o. - Beskydské centrum duševního zdraví</t>
  </si>
  <si>
    <t>NÁVRATNÁ FINANČNÍ VÝPOMOC PŘÍSPĚVKOVÝM ORGANIZACÍM NA PROFINANCOVÁNÍ PODÍLŮ STÁTNÍHO ROZPOČTU A EVROPSKÉ UNIE</t>
  </si>
  <si>
    <t>celkem NFV</t>
  </si>
  <si>
    <t>úvěr UCB - čerpání</t>
  </si>
  <si>
    <t>úvěr UCB - splátka</t>
  </si>
  <si>
    <t>úvěr UCB splátky 2021-2024</t>
  </si>
  <si>
    <t>MÚK Bazaly – II. a III. etapa</t>
  </si>
  <si>
    <t>Fond FSP</t>
  </si>
  <si>
    <t>Zateplení vybraných objektů Slezské nemocnice v Opavě - II etapa</t>
  </si>
  <si>
    <t>úvěr UCB čerpání 2021-2024 + na vastní podíl</t>
  </si>
  <si>
    <t>celkem</t>
  </si>
  <si>
    <t>2020 UBC čerpání</t>
  </si>
  <si>
    <t>2020 UCB splátka</t>
  </si>
  <si>
    <t>2019 KZ UCB</t>
  </si>
  <si>
    <t>saldo úvěru UCB</t>
  </si>
  <si>
    <t>Chráněné bydlení Hynaisova</t>
  </si>
  <si>
    <t>úvěr ČS</t>
  </si>
  <si>
    <t>Zařízení pro úpravu zdravotnických odpadů (Nemocnice s poliklinikou Havířov)</t>
  </si>
  <si>
    <t>Zařízení pro úpravu zdravotnických odpadů Nemocnice ve Frýdku-Místku</t>
  </si>
  <si>
    <t xml:space="preserve"> Energetické úspory - Gymnázium Havířov-Podlesí</t>
  </si>
  <si>
    <t>Energetické úspory - Gymnázium Ostrava-Hrabůvka</t>
  </si>
  <si>
    <t>Energetické úspory - Gymnázium Ostrava-Zábřeh (Volgogradská 6a)</t>
  </si>
  <si>
    <t>Energetické úspory - Matiční gymnázium Ostrava</t>
  </si>
  <si>
    <t>Energetické úspory - Sportovní Gymnázium Dany a Emila Zátopkových, Ostrava</t>
  </si>
  <si>
    <t>"Nákup budov a pozemků v Opavě“ realizovanou pro organizaci Sírius</t>
  </si>
  <si>
    <t xml:space="preserve">3 projektů z REACT-EU. (Záchranný komunikační systém“, „Vozidla a technika proti covidu“, „Vzdělávání a nácvik proti covidu“). </t>
  </si>
  <si>
    <t>Snížení energetické náročnosti budov v areálu drobnochovu Školního statku Opava na ulici Statková využitím OZE</t>
  </si>
  <si>
    <t>Snížení energetické náročnosti budov Masarykové střední školy zemědělské a Vyšší odborné školy v Opavě využitím OZE a KVET</t>
  </si>
  <si>
    <t>Snížení energetické náročnosti budovy v hlavním areálu Školního statku Opava na ulici Englišova</t>
  </si>
  <si>
    <t>Vozidla a technika proti covidu</t>
  </si>
  <si>
    <t>Vzdělávání a nácvik proti covidu</t>
  </si>
  <si>
    <t>Záchranný komunikační systém</t>
  </si>
  <si>
    <t>REAKT EU</t>
  </si>
  <si>
    <t>Bílovec</t>
  </si>
  <si>
    <t>Frýdek-Místek</t>
  </si>
  <si>
    <t>Havířov</t>
  </si>
  <si>
    <t>Karviná</t>
  </si>
  <si>
    <t>Krnov</t>
  </si>
  <si>
    <t>Opava</t>
  </si>
  <si>
    <t>Třinec</t>
  </si>
  <si>
    <t>Metylovice</t>
  </si>
  <si>
    <t>Jablunkov</t>
  </si>
  <si>
    <t>ZZS MSK</t>
  </si>
  <si>
    <t>Rekonstrukce elektroinstalace (Mendelovo gymnázium, Opava, příspěvková organizace)</t>
  </si>
  <si>
    <t>Sportovní areál na ul. Komenského, Opava (Mendelovo gymnázium, Opava, příspěvková organizace)</t>
  </si>
  <si>
    <t>Rekonstrukce objektu na ul. B. Němcové, Opava (Střední odborné učiliště stavební, Opava, příspěvková organizace)</t>
  </si>
  <si>
    <t>Rekonstrukce objektů Polského gymnázia (Polské gymnázium - Polskie Gimnazjum im. Juliusza Słowackiego, Český Těšín, příspěvková organizace)</t>
  </si>
  <si>
    <t>Rekultivace vnitrobloku a zpevněné plochy (Polské gymnázium - Polskie Gimnazjum im. Juliusza Słowackiego, Český Těšín, příspěvková organizace)</t>
  </si>
  <si>
    <t>Rekonstrukce budovy na ulici Praskova čp. 411 v Opavě (Základní škola, Opava, Havlíčkova 1, příspěvková organizace)</t>
  </si>
  <si>
    <t>Demolice budov a výstavba sportoviště (Střední průmyslová škola a Obchodní akademie, Bruntál, příspěvková organizace)</t>
  </si>
  <si>
    <t>Rekonstrukce školní kuchyně a výdejny (Základní škola, Ostrava - Poruba, Čkalovova 942, příspěvková organizace)</t>
  </si>
  <si>
    <t>Stavební úpravy části školy pro potřeby Vzdělávacího a výcvikového střediska a umístění sídla Správy silnic MSK v Ostravě-Zábřeh (Střední škola stavební a dřevozpracující, Ostrava, příspěvková organizace)</t>
  </si>
  <si>
    <t>Vybudování dílen pro praktické vyučování (Střední odborná škola, Frýdek-Místek, příspěvková organizace)</t>
  </si>
  <si>
    <t>Modernizace Školního statku v Opavě (Školní statek, Opava, příspěvková organizace)</t>
  </si>
  <si>
    <t>Rekonstrukce elektroinstalace hlavní budovy školy (Slezské gymnázium, Opava, příspěvková organizace)</t>
  </si>
  <si>
    <t>Rekonstrukce objektu SŠ a domova mládeže (Střední škola společného stravování, Ostrava-Hrabůvka, příspěvková organizace)</t>
  </si>
  <si>
    <t>Rekonstrukce cvičné stávající kuchyně v prostorách Tyršova 34, Opava (Základní škola, Opava, Havlíčkova 1, příspěvková organizace)</t>
  </si>
  <si>
    <t>Využití objektu v Bílé (Vzdělávací a sportovní centrum, Bílá, příspěvková organizace)</t>
  </si>
  <si>
    <t>Modernizace výuky svařování</t>
  </si>
  <si>
    <t>Rekonstrukce a modernizace silnice II/470 ul. Orlovská</t>
  </si>
  <si>
    <t>EP UCB</t>
  </si>
  <si>
    <t>Návratné fin. Výpomoci UCB</t>
  </si>
  <si>
    <t>Snížení energetické náročnosti budov v areálu Slezské nemocnice v Opavě využitím OZE a KVET u hlavních budov - hlavní budova I</t>
  </si>
  <si>
    <t>Snížení energetické náročnosti budov v areálu Slezské nemocnice v Opavě využitím OZE a KVET u hlavních budov - hlavní budova II</t>
  </si>
  <si>
    <t>Snížení energetické náročnosti budov v areálu Slezské nemocnice v Opavě využitím OZE u vedlejších budov</t>
  </si>
  <si>
    <t>NOVÉ PROJEKTY (od Toma z KALK)</t>
  </si>
  <si>
    <t>Vysokorychlostní datová síť</t>
  </si>
  <si>
    <t>NOVÝ ÚVĚR</t>
  </si>
  <si>
    <t>rok 2025</t>
  </si>
  <si>
    <r>
      <t>Černá kostka - Centrum digitalizace, vědy a inovací (</t>
    </r>
    <r>
      <rPr>
        <b/>
        <i/>
        <sz val="10"/>
        <color rgb="FFFF0000"/>
        <rFont val="Tahoma"/>
        <family val="2"/>
        <charset val="238"/>
      </rPr>
      <t>Novostavba Moravskoslezské vědecké knihovny</t>
    </r>
    <r>
      <rPr>
        <b/>
        <sz val="10"/>
        <color rgb="FFFF0000"/>
        <rFont val="Tahoma"/>
        <family val="2"/>
        <charset val="238"/>
      </rPr>
      <t xml:space="preserve">) </t>
    </r>
  </si>
  <si>
    <t>IROP 2 - KULUTRA</t>
  </si>
  <si>
    <t>Technologická a podnikatelská akademie a digitální, inovační a mediální laboratoř (TPA a DIMLab)</t>
  </si>
  <si>
    <t>IROP 2 - ŠKOLSTVÍ</t>
  </si>
  <si>
    <t>IRPO 2 - DOPRAVA</t>
  </si>
  <si>
    <t>IVC Kopřivnice</t>
  </si>
  <si>
    <t>IROP 2 - SOC</t>
  </si>
  <si>
    <t>IROP 2 - ZDRAV</t>
  </si>
  <si>
    <t>NOVÝ ÚVĚR - splátka</t>
  </si>
  <si>
    <t>NOVÝ ÚVĚR - čerpání</t>
  </si>
  <si>
    <t>NOVÝ ÚVĚR - ČERPÁNÍ</t>
  </si>
  <si>
    <t>NOVÝ ÚVĚR - SPLÁTKY</t>
  </si>
  <si>
    <t>saldo NOVÝ ÚVĚR</t>
  </si>
  <si>
    <t>rok 2026</t>
  </si>
  <si>
    <t>rok 2027</t>
  </si>
  <si>
    <t>úvěr ČS - splátka</t>
  </si>
  <si>
    <t>UCB</t>
  </si>
  <si>
    <t>Rekonstrukce školního dvora (Matiční gymnázium, Ostrava, příspěvková organizace)</t>
  </si>
  <si>
    <t>Stavební úpravy tělocvičny (Střední škola průmyslová, Krnov, příspěvková organiazce)</t>
  </si>
  <si>
    <t>Rekonstrukce střechy a zateplení fasády (Gymnázium Třinec, příspěvková organizace)</t>
  </si>
  <si>
    <t>Rekonstrukce střechy budov dílen (Střední průmyslová škola, Ostrava - Vítkovice, příspěvková organizace)</t>
  </si>
  <si>
    <t>Vybavení rekonstruovaných objektů Polského gymnázia (Polské gymnázium - Polskie Gimnazjum im. Juliusza Słowackiego, Český Těšín, příspěvková organizace)</t>
  </si>
  <si>
    <t>Přístavba tělocvičny - projektová příprava (Gymnázium, Třinec, přípspěvková organizace)-PROJEKT</t>
  </si>
  <si>
    <t>REAKT - Vozidla a technika proti covidu</t>
  </si>
  <si>
    <t>REAKT - Vzdělávání a nácvik proti covidu</t>
  </si>
  <si>
    <t>REAKT - Záchranný komunikační systém</t>
  </si>
  <si>
    <t>Rozvoj a modernizace pracovišť navazujících na urgentní příjem 2. typu Sdruženého zdravotnického zařízení Krnov, příspěvková organizace</t>
  </si>
  <si>
    <t>Zvýšení kvality poskytované zdravotní péče v Nemocnici ve Frýdku-Místku, p. o.</t>
  </si>
  <si>
    <t>Rozvoj a modernizace pracovišť navazujících na urgentní příjem Slezské nemocnice v Opavě</t>
  </si>
  <si>
    <t>Modernizace Nemocnice Třinec</t>
  </si>
  <si>
    <t>Přístavba tělocvičny (Gymnázium, Třinec, přípspěvková organizace)</t>
  </si>
  <si>
    <t>Pavilon F - stavební úpravy 1.NP pro rehabilitaci (Slezská nemocnice v Opavě, příspěvková organizace)</t>
  </si>
  <si>
    <t>Novostavba Moravskoslezské vědecké knihovny</t>
  </si>
  <si>
    <t>Revitalizace parku Nemocnice s poliklinikou Karviná - Ráj - Orlová</t>
  </si>
  <si>
    <t>Revitalizace parku Nemocnice s poliklinikou Karviná - Ráj - Karviná</t>
  </si>
  <si>
    <t>Výstavba sportovní haly pro Gymnázium a SPŠEI ve Frenštátě pod Radhoštěm</t>
  </si>
  <si>
    <t>Stavební úpravy budovy na ul. Rybářská 27 (Domov Bílá Opava, příspěvková organizace)</t>
  </si>
  <si>
    <t>Dům pro volnočasové aktivity seniorů se zahradním parterem (Domov Letokruhy, příspěvková organizace, Budišov nad Budišovkou)</t>
  </si>
  <si>
    <t>Rekonstrukce prostor dílen (Střední průmyslová škola, Ostrava-Vítkovice, příspěvková organizace)</t>
  </si>
  <si>
    <t>Výstavba operačních sálů a dospávacích pokojů (Nemocnice s poliklinikou Karviná-Ráj, příspěvková organizace)</t>
  </si>
  <si>
    <t>Pavilon H - stavební úpravy a přístavba (Slezská nemocnice v Opavě, příspěvková organizace)</t>
  </si>
  <si>
    <t>Rekonstrukce hemodialýzy v budově S (Nemocnice ve Frýdku-Místku, příspěvková organizace)</t>
  </si>
  <si>
    <t>Rekonstrukce podkroví (Odborný léčebný ústav Metylovice - Moravskoslezské sanatorium, příspěvková organizace)</t>
  </si>
  <si>
    <t>Domov sester - přístavba výtahu a stavební úpravy (Slezská nemocnice v Opavě, příspěvková organizace)</t>
  </si>
  <si>
    <t>Nákup budov a pozemků ve Skotnici</t>
  </si>
  <si>
    <t>úvěr ČS
čerpání</t>
  </si>
  <si>
    <t>Saldo čerpání/splácení (nesmí být záporná hodnota)</t>
  </si>
  <si>
    <t>Chráněné bydlení Okrajová</t>
  </si>
  <si>
    <t>Revitalizace NKP Zámek Bruntál a nové expozice</t>
  </si>
  <si>
    <t>Žerotínský zámek – centrum relaxace a poznání</t>
  </si>
  <si>
    <t>IROP 2 - KULTURA</t>
  </si>
  <si>
    <t>Celkem Chytrý region</t>
  </si>
  <si>
    <t>Název akce - jen upravený ropočet a plán</t>
  </si>
  <si>
    <t>Akce</t>
  </si>
  <si>
    <t>3209</t>
  </si>
  <si>
    <t>3210</t>
  </si>
  <si>
    <t>3211</t>
  </si>
  <si>
    <t>3234</t>
  </si>
  <si>
    <t>3236</t>
  </si>
  <si>
    <t>3247</t>
  </si>
  <si>
    <t>3250</t>
  </si>
  <si>
    <t>3285</t>
  </si>
  <si>
    <t>3305</t>
  </si>
  <si>
    <t>3334</t>
  </si>
  <si>
    <t>3343</t>
  </si>
  <si>
    <t>3371</t>
  </si>
  <si>
    <t>3372</t>
  </si>
  <si>
    <t>3392</t>
  </si>
  <si>
    <t>3402</t>
  </si>
  <si>
    <t>3405</t>
  </si>
  <si>
    <t>3409</t>
  </si>
  <si>
    <t>3413</t>
  </si>
  <si>
    <t>3414</t>
  </si>
  <si>
    <t>3423</t>
  </si>
  <si>
    <t>3424</t>
  </si>
  <si>
    <t>3425</t>
  </si>
  <si>
    <t>3428</t>
  </si>
  <si>
    <t>3429</t>
  </si>
  <si>
    <t>3430</t>
  </si>
  <si>
    <t>3431</t>
  </si>
  <si>
    <t>3452</t>
  </si>
  <si>
    <t>3453</t>
  </si>
  <si>
    <t>3454</t>
  </si>
  <si>
    <t>3455</t>
  </si>
  <si>
    <t>3465</t>
  </si>
  <si>
    <t>3482</t>
  </si>
  <si>
    <t>3484</t>
  </si>
  <si>
    <t>úvěr UCB splátky 2021-2024 vč. vlastního podílu</t>
  </si>
  <si>
    <t>3206</t>
  </si>
  <si>
    <t>3249</t>
  </si>
  <si>
    <t>3317</t>
  </si>
  <si>
    <t>3319</t>
  </si>
  <si>
    <t>CVE = Centrum veřejných energetiků</t>
  </si>
  <si>
    <t>Letiště Leoše Janáčka Ostrava, výstavba odbavovací plochy APN S3</t>
  </si>
  <si>
    <t>Rekonstrukce silnice III/47811, II/478 Ostrava, ulice Mitrovická (Správa silnic Moravskoslezského kraje, příspěvková organizace)</t>
  </si>
  <si>
    <t>Rekonstrukce mostů ev. č. 486-011, 012 Hukvaldy (Správa silnic Moravskoslezského kraje, příspěvková organizace, Ostrava)</t>
  </si>
  <si>
    <t>Rekonstrukce mostu ev. č. 478-008 Polanka nad Odrou (Správa silnic Moravskoslezského kraje, příspěvková organizace, Ostrava)</t>
  </si>
  <si>
    <t>Rekonstrukce mostu ev. č. 4804-2 Košatka (Správa silnic Moravskoslezského kraje, příspěvková organizace, Ostrava)</t>
  </si>
  <si>
    <t>Oprava izolačních vrstev střešního pláště (Střední škola prof. Zdeňka Matějčka, Ostrava-Poruba, příspěvková organizace)</t>
  </si>
  <si>
    <t>odvětví krizové řízení celkem</t>
  </si>
  <si>
    <t>3512</t>
  </si>
  <si>
    <t>3292</t>
  </si>
  <si>
    <t>ORG</t>
  </si>
  <si>
    <t>CELKEM</t>
  </si>
  <si>
    <r>
      <t>Černá kostka - Centrum digitalizace, vědy a inovací (</t>
    </r>
    <r>
      <rPr>
        <i/>
        <sz val="10"/>
        <rFont val="Tahoma"/>
        <family val="2"/>
        <charset val="238"/>
      </rPr>
      <t>Novostavba Moravskoslezské vědecké knihovny</t>
    </r>
    <r>
      <rPr>
        <sz val="10"/>
        <rFont val="Tahoma"/>
        <family val="2"/>
        <charset val="238"/>
      </rPr>
      <t xml:space="preserve">) </t>
    </r>
  </si>
  <si>
    <r>
      <rPr>
        <b/>
        <sz val="10"/>
        <color rgb="FF000000"/>
        <rFont val="Tahoma"/>
        <family val="2"/>
        <charset val="238"/>
      </rPr>
      <t xml:space="preserve">územní </t>
    </r>
    <r>
      <rPr>
        <b/>
        <sz val="10"/>
        <color indexed="8"/>
        <rFont val="Tahoma"/>
        <family val="2"/>
        <charset val="238"/>
      </rPr>
      <t>plánování celkem</t>
    </r>
  </si>
  <si>
    <t>-</t>
  </si>
  <si>
    <t>0</t>
  </si>
  <si>
    <t>3519</t>
  </si>
  <si>
    <t>Městečko bezpečí</t>
  </si>
  <si>
    <t>Modernizace výuky informačních technologií III</t>
  </si>
  <si>
    <t>Kontrola</t>
  </si>
  <si>
    <t>Rekonstrukce silnic II/445 a II/370 (Rýmařov)</t>
  </si>
  <si>
    <t>Rekonstrukce a modernizace silnice II/472 Karviná, ul. Borovského</t>
  </si>
  <si>
    <t>Rekonstrukce a modernizace silnice II/442 VD Kružberk – Svatoňovice – Čermná ve Slezsku</t>
  </si>
  <si>
    <t>Silnice II/483 průtah Frenštát p. R. – hr. okresu FM</t>
  </si>
  <si>
    <t>Rekonstrukce a modernizace silnice II/443 Štáblovice – Otice</t>
  </si>
  <si>
    <t>odvětví krajský úřad celkem</t>
  </si>
  <si>
    <t>Ochrana zálohovaných dat krajské korporace proti škodlivému kódu</t>
  </si>
  <si>
    <t>3535</t>
  </si>
  <si>
    <t>Nová Horka - centrum tradic a zážitků</t>
  </si>
  <si>
    <t>Transformace Zámku Dolní Životice</t>
  </si>
  <si>
    <t>Výstavba domova se zvláštním režimem (Domov Hortenzie, Frenštát)</t>
  </si>
  <si>
    <t>Výstavba domků pro osoby s atypickými potřebami (Náš svět, Pržno)</t>
  </si>
  <si>
    <t>Rekonstrukce objektu organizace Nový domov, příspěvková organizace vedoucí k energetickým úsporám</t>
  </si>
  <si>
    <t>Modernizace zázemí pro výuku zemědělských a polygrafických oborů na Albrechtově SŠ Český Těšín</t>
  </si>
  <si>
    <t>Novostavba a přístavba objektu dílen a učeben praktického vyučování ve Středním odborném učilišti stavebním Opava</t>
  </si>
  <si>
    <t>Rozšíření a modernizace výukových prostor na JG PT Ostrava-Poruba</t>
  </si>
  <si>
    <t>3525</t>
  </si>
  <si>
    <t>3515</t>
  </si>
  <si>
    <t>3516</t>
  </si>
  <si>
    <t>3520</t>
  </si>
  <si>
    <t>Silnice III/4593 hraniční most ev. č. 4593-3 Úvalno - Branice</t>
  </si>
  <si>
    <t>Silnice III/0578 hraniční most ev. č. 0578-2 Vávrovice - Wiechowice</t>
  </si>
  <si>
    <t>Silnice III/01129 Opava - Pilszcz</t>
  </si>
  <si>
    <t>Těšínské divadelní a kulturní centrum</t>
  </si>
  <si>
    <t>3524</t>
  </si>
  <si>
    <t>Implementace standardu konektivity, infrastruktury a kyberbezpečnosti ve středních školách v MSK</t>
  </si>
  <si>
    <t>Modernizace výuky přírodovědných předmětů III</t>
  </si>
  <si>
    <t>Modernizace Školního statku Opava II</t>
  </si>
  <si>
    <t>3518</t>
  </si>
  <si>
    <t>Novostavba dílen a venkovní sportoviště pro Střední školu technickou Opava</t>
  </si>
  <si>
    <t>3517</t>
  </si>
  <si>
    <t>Obnova vozového parku sanitních vozidel ZZS MSK</t>
  </si>
  <si>
    <t>Výstavba sportovního plaveckého bazénu při Sportovním gymnáziu Dany a Emila Zátopkových v Ostravě</t>
  </si>
  <si>
    <t>POHO Park Gabriela</t>
  </si>
  <si>
    <t>3536</t>
  </si>
  <si>
    <t>3537</t>
  </si>
  <si>
    <t>3538</t>
  </si>
  <si>
    <t>Silnice III/05712 – hraniční most ev. č. 05712-2 Držkovice</t>
  </si>
  <si>
    <t>Novostavba depozitáře Muzeum v Bruntále</t>
  </si>
  <si>
    <t>Rekonstrukce depozitáře Muzea Beskyd Frýdek-Místek</t>
  </si>
  <si>
    <t>Rozvoj služeb v Ostravě – ul. Dr. Malého</t>
  </si>
  <si>
    <t>Rekonstrukce a výstavba objektů ve Skotnici</t>
  </si>
  <si>
    <t>3546</t>
  </si>
  <si>
    <t>3547</t>
  </si>
  <si>
    <t>Digitální transformace kultury Moravskoslezského kraje</t>
  </si>
  <si>
    <t xml:space="preserve">Digitalizace kulturního dědictví Moravskoslezského kraje </t>
  </si>
  <si>
    <t>3556</t>
  </si>
  <si>
    <t>Restaurování kulturního dědictví MSK</t>
  </si>
  <si>
    <t>Silnice III/4593 Úvalno - Branice, km 6,422 - 8,770 s vazbou na hraniční přechod PR - Niekazanice</t>
  </si>
  <si>
    <t>NOVÝ</t>
  </si>
  <si>
    <t>3502600000</t>
  </si>
  <si>
    <t>Inovační centrum pro transformaci vzdělávání (TPA)</t>
  </si>
  <si>
    <t>3564</t>
  </si>
  <si>
    <t>Silnice III/4593 Úvalno - Branice, km 7,194 - 8,239 s vazbou na hraniční přechod PR - Bogdanowice – Włodzienin</t>
  </si>
  <si>
    <t>Rekonstrukce silnice II/445 Vrbno p. Pradědem - Heřmanovice</t>
  </si>
  <si>
    <t>3573</t>
  </si>
  <si>
    <t>Rekonstrukce a modernizace silnice II/478 Šenov ul. Šenovská/Datyňská</t>
  </si>
  <si>
    <t>3574</t>
  </si>
  <si>
    <t>Silnice II/442 Bohdanovice - Hořejší Kunčice</t>
  </si>
  <si>
    <t>3575</t>
  </si>
  <si>
    <t>Silnice II/442 Kerhartice - VD Kružberk</t>
  </si>
  <si>
    <t>3576</t>
  </si>
  <si>
    <t xml:space="preserve">Juraj a Ondráš – zbojnické legendy </t>
  </si>
  <si>
    <t>3577</t>
  </si>
  <si>
    <t>Objevování česko-polského příhraničí</t>
  </si>
  <si>
    <t>3568</t>
  </si>
  <si>
    <t>Vzdělávací centrum POHO ENVI – Areál zámku Doubrava</t>
  </si>
  <si>
    <t>3565</t>
  </si>
  <si>
    <t>Digitální technická mapa Moravskoslezského kraje II</t>
  </si>
  <si>
    <t>3572</t>
  </si>
  <si>
    <t>odvětví cestovní ruch celkem</t>
  </si>
  <si>
    <t>Obnova techniky na Jesenické magistrále II</t>
  </si>
  <si>
    <t>Obnova techniky, turistického značení a mobiliáře na Beskydské magistrále</t>
  </si>
  <si>
    <t xml:space="preserve">Chráněné bydlení ul. Karasova v Ostravě </t>
  </si>
  <si>
    <t>Novostavba objektu DZR v Bohumíně</t>
  </si>
  <si>
    <t>Rozšíření a modernizace prostor Základní školy a Mateřské školy, Ostrava-Poruba, Ukrajinská 19, příspěvkové organizace</t>
  </si>
  <si>
    <t>Rozšíření a modernizace prostor speciálně pedagogického centra při Střední škole, Základní škole a Mateřské škole, Karviná, příspěvkové organizaci</t>
  </si>
  <si>
    <t>3434</t>
  </si>
  <si>
    <t>3435</t>
  </si>
  <si>
    <t>Energetické úspory ve školách zřizovaných Moravskoslezským krajem – VI. Etapa</t>
  </si>
  <si>
    <t xml:space="preserve">odvětví chytrý region celkem </t>
  </si>
  <si>
    <t>Saldo k 31.12.2024</t>
  </si>
  <si>
    <t>Saldo k 31.12.2025</t>
  </si>
  <si>
    <t>Saldo k 31.12.2026</t>
  </si>
  <si>
    <t>Saldo k 31.12.2027</t>
  </si>
  <si>
    <t>Saldo k 31.12.2028</t>
  </si>
  <si>
    <t>Saldo k 31.12.2029</t>
  </si>
  <si>
    <t>Saldo k 31.12.2030</t>
  </si>
  <si>
    <t>2025
čerpání</t>
  </si>
  <si>
    <t>2025
splátka</t>
  </si>
  <si>
    <t>2026
čerpání</t>
  </si>
  <si>
    <t>2026
splátka</t>
  </si>
  <si>
    <t>2027
čerpání</t>
  </si>
  <si>
    <t>2027
splátka</t>
  </si>
  <si>
    <t>2028
čerpání</t>
  </si>
  <si>
    <t>2028
splátka</t>
  </si>
  <si>
    <t>2029
čerpání</t>
  </si>
  <si>
    <t>2029
splátka</t>
  </si>
  <si>
    <t>2030
čerpání</t>
  </si>
  <si>
    <t>2030
splátka</t>
  </si>
  <si>
    <t>2024
čerpání</t>
  </si>
  <si>
    <t>2024
splátka</t>
  </si>
  <si>
    <t>Přehled čerpání nového úvěru v letech 2024 až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</si>
</sst>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Tahoma"/>
      <family val="2"/>
      <charset val="238"/>
    </font>
    <font>
      <i/>
      <sz val="10"/>
      <name val="Tahoma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0"/>
      <color rgb="FFFF0000"/>
      <name val="Tahoma"/>
      <family val="2"/>
      <charset val="238"/>
    </font>
    <font>
      <b/>
      <i/>
      <sz val="10"/>
      <color rgb="FFFF0000"/>
      <name val="Tahoma"/>
      <family val="2"/>
      <charset val="238"/>
    </font>
    <font>
      <i/>
      <sz val="10"/>
      <color rgb="FFFF0000"/>
      <name val="Tahoma"/>
      <family val="2"/>
      <charset val="238"/>
    </font>
    <font>
      <b/>
      <i/>
      <sz val="10"/>
      <color indexed="8"/>
      <name val="Tahoma"/>
      <family val="2"/>
      <charset val="238"/>
    </font>
    <font>
      <i/>
      <sz val="10"/>
      <color indexed="8"/>
      <name val="Tahoma"/>
      <family val="2"/>
      <charset val="238"/>
    </font>
    <font>
      <i/>
      <sz val="10"/>
      <color theme="1"/>
      <name val="Tahoma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Tahoma"/>
      <family val="2"/>
      <charset val="238"/>
    </font>
    <font>
      <sz val="10"/>
      <color rgb="FF00B050"/>
      <name val="Tahoma"/>
      <family val="2"/>
      <charset val="238"/>
    </font>
    <font>
      <b/>
      <i/>
      <sz val="10"/>
      <color rgb="FF00B050"/>
      <name val="Tahoma"/>
      <family val="2"/>
      <charset val="238"/>
    </font>
    <font>
      <b/>
      <sz val="10"/>
      <color rgb="FF00B050"/>
      <name val="Tahoma"/>
      <family val="2"/>
      <charset val="238"/>
    </font>
    <font>
      <i/>
      <sz val="10"/>
      <color theme="0" tint="-0.34998626667073579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indexed="8"/>
      <name val="Tahoma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8">
    <xf numFmtId="0" fontId="0" fillId="0" borderId="0"/>
    <xf numFmtId="0" fontId="1" fillId="0" borderId="0">
      <alignment wrapText="1"/>
    </xf>
    <xf numFmtId="0" fontId="1" fillId="0" borderId="0">
      <alignment wrapText="1"/>
    </xf>
    <xf numFmtId="0" fontId="22" fillId="0" borderId="0"/>
    <xf numFmtId="0" fontId="1" fillId="0" borderId="0"/>
    <xf numFmtId="0" fontId="28" fillId="0" borderId="0"/>
    <xf numFmtId="0" fontId="1" fillId="0" borderId="0"/>
    <xf numFmtId="0" fontId="28" fillId="0" borderId="0"/>
  </cellStyleXfs>
  <cellXfs count="394">
    <xf numFmtId="0" fontId="0" fillId="0" borderId="0" xfId="0"/>
    <xf numFmtId="4" fontId="4" fillId="2" borderId="3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Alignment="1">
      <alignment horizontal="left" vertical="center" wrapText="1"/>
    </xf>
    <xf numFmtId="4" fontId="4" fillId="0" borderId="0" xfId="1" applyNumberFormat="1" applyFont="1" applyAlignment="1">
      <alignment horizontal="right" vertical="center" wrapText="1"/>
    </xf>
    <xf numFmtId="0" fontId="8" fillId="0" borderId="0" xfId="0" applyFont="1"/>
    <xf numFmtId="4" fontId="4" fillId="0" borderId="2" xfId="1" applyNumberFormat="1" applyFont="1" applyBorder="1" applyAlignment="1">
      <alignment horizontal="center" vertical="center" wrapText="1"/>
    </xf>
    <xf numFmtId="4" fontId="7" fillId="0" borderId="2" xfId="1" applyNumberFormat="1" applyFont="1" applyBorder="1" applyAlignment="1">
      <alignment horizontal="right" vertical="center" wrapText="1"/>
    </xf>
    <xf numFmtId="4" fontId="9" fillId="0" borderId="2" xfId="1" applyNumberFormat="1" applyFont="1" applyBorder="1" applyAlignment="1">
      <alignment horizontal="right" vertical="center" wrapText="1"/>
    </xf>
    <xf numFmtId="0" fontId="6" fillId="0" borderId="0" xfId="0" applyFont="1"/>
    <xf numFmtId="4" fontId="8" fillId="0" borderId="2" xfId="1" applyNumberFormat="1" applyFont="1" applyBorder="1" applyAlignment="1">
      <alignment horizontal="right" vertical="center" wrapText="1"/>
    </xf>
    <xf numFmtId="4" fontId="8" fillId="0" borderId="2" xfId="0" applyNumberFormat="1" applyFont="1" applyBorder="1"/>
    <xf numFmtId="4" fontId="10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6" fillId="3" borderId="0" xfId="0" applyFont="1" applyFill="1"/>
    <xf numFmtId="4" fontId="8" fillId="0" borderId="0" xfId="0" applyNumberFormat="1" applyFont="1"/>
    <xf numFmtId="4" fontId="4" fillId="2" borderId="7" xfId="1" applyNumberFormat="1" applyFont="1" applyFill="1" applyBorder="1" applyAlignment="1">
      <alignment horizontal="right" vertical="center" wrapText="1"/>
    </xf>
    <xf numFmtId="0" fontId="7" fillId="0" borderId="7" xfId="1" applyFont="1" applyBorder="1" applyAlignment="1">
      <alignment vertical="center" wrapText="1"/>
    </xf>
    <xf numFmtId="4" fontId="4" fillId="2" borderId="7" xfId="1" applyNumberFormat="1" applyFont="1" applyFill="1" applyBorder="1" applyAlignment="1">
      <alignment horizontal="left" vertical="center" wrapText="1"/>
    </xf>
    <xf numFmtId="0" fontId="9" fillId="0" borderId="7" xfId="1" applyFont="1" applyBorder="1" applyAlignment="1">
      <alignment vertical="top" wrapText="1"/>
    </xf>
    <xf numFmtId="0" fontId="9" fillId="0" borderId="7" xfId="1" applyFont="1" applyBorder="1" applyAlignment="1">
      <alignment vertical="center" wrapText="1"/>
    </xf>
    <xf numFmtId="0" fontId="7" fillId="0" borderId="7" xfId="1" applyFont="1" applyBorder="1" applyAlignment="1">
      <alignment vertical="top" wrapText="1"/>
    </xf>
    <xf numFmtId="4" fontId="4" fillId="0" borderId="13" xfId="1" applyNumberFormat="1" applyFont="1" applyBorder="1" applyAlignment="1">
      <alignment horizontal="center" vertical="center" wrapText="1"/>
    </xf>
    <xf numFmtId="4" fontId="4" fillId="0" borderId="14" xfId="1" applyNumberFormat="1" applyFont="1" applyBorder="1" applyAlignment="1">
      <alignment horizontal="center" vertical="center" wrapText="1"/>
    </xf>
    <xf numFmtId="4" fontId="7" fillId="0" borderId="13" xfId="1" applyNumberFormat="1" applyFont="1" applyBorder="1" applyAlignment="1">
      <alignment horizontal="right" vertical="center" wrapText="1"/>
    </xf>
    <xf numFmtId="4" fontId="7" fillId="0" borderId="14" xfId="1" applyNumberFormat="1" applyFont="1" applyBorder="1" applyAlignment="1">
      <alignment horizontal="right" vertical="center" wrapText="1"/>
    </xf>
    <xf numFmtId="4" fontId="4" fillId="2" borderId="15" xfId="1" applyNumberFormat="1" applyFont="1" applyFill="1" applyBorder="1" applyAlignment="1">
      <alignment horizontal="right" vertical="center" wrapText="1"/>
    </xf>
    <xf numFmtId="4" fontId="4" fillId="2" borderId="16" xfId="1" applyNumberFormat="1" applyFont="1" applyFill="1" applyBorder="1" applyAlignment="1">
      <alignment horizontal="right" vertical="center" wrapText="1"/>
    </xf>
    <xf numFmtId="4" fontId="10" fillId="0" borderId="13" xfId="0" applyNumberFormat="1" applyFont="1" applyBorder="1" applyAlignment="1">
      <alignment horizontal="right" vertical="center" wrapText="1"/>
    </xf>
    <xf numFmtId="4" fontId="10" fillId="0" borderId="14" xfId="0" applyNumberFormat="1" applyFont="1" applyBorder="1" applyAlignment="1">
      <alignment horizontal="right" vertical="center" wrapText="1"/>
    </xf>
    <xf numFmtId="4" fontId="4" fillId="0" borderId="17" xfId="1" applyNumberFormat="1" applyFont="1" applyBorder="1" applyAlignment="1">
      <alignment horizontal="right" vertical="center" wrapText="1"/>
    </xf>
    <xf numFmtId="4" fontId="4" fillId="0" borderId="1" xfId="1" applyNumberFormat="1" applyFont="1" applyBorder="1" applyAlignment="1">
      <alignment horizontal="right" vertical="center" wrapText="1"/>
    </xf>
    <xf numFmtId="4" fontId="9" fillId="0" borderId="13" xfId="1" applyNumberFormat="1" applyFont="1" applyBorder="1" applyAlignment="1">
      <alignment horizontal="right" vertical="center" wrapText="1"/>
    </xf>
    <xf numFmtId="4" fontId="9" fillId="0" borderId="14" xfId="1" applyNumberFormat="1" applyFont="1" applyBorder="1" applyAlignment="1">
      <alignment horizontal="right" vertical="center" wrapText="1"/>
    </xf>
    <xf numFmtId="4" fontId="9" fillId="0" borderId="14" xfId="0" applyNumberFormat="1" applyFont="1" applyBorder="1" applyAlignment="1">
      <alignment horizontal="right" vertical="center" wrapText="1"/>
    </xf>
    <xf numFmtId="4" fontId="8" fillId="0" borderId="14" xfId="1" applyNumberFormat="1" applyFont="1" applyBorder="1" applyAlignment="1">
      <alignment horizontal="right" vertical="center" wrapText="1"/>
    </xf>
    <xf numFmtId="4" fontId="8" fillId="0" borderId="13" xfId="1" applyNumberFormat="1" applyFont="1" applyBorder="1" applyAlignment="1">
      <alignment horizontal="right" vertical="center" wrapText="1"/>
    </xf>
    <xf numFmtId="4" fontId="9" fillId="0" borderId="13" xfId="0" applyNumberFormat="1" applyFont="1" applyBorder="1" applyAlignment="1">
      <alignment horizontal="right" vertical="center" wrapText="1"/>
    </xf>
    <xf numFmtId="0" fontId="11" fillId="0" borderId="0" xfId="0" applyFont="1"/>
    <xf numFmtId="49" fontId="9" fillId="7" borderId="5" xfId="0" applyNumberFormat="1" applyFont="1" applyFill="1" applyBorder="1" applyAlignment="1">
      <alignment vertical="center" wrapText="1"/>
    </xf>
    <xf numFmtId="49" fontId="9" fillId="6" borderId="5" xfId="0" applyNumberFormat="1" applyFont="1" applyFill="1" applyBorder="1" applyAlignment="1">
      <alignment vertical="center" wrapText="1"/>
    </xf>
    <xf numFmtId="49" fontId="9" fillId="6" borderId="5" xfId="0" applyNumberFormat="1" applyFont="1" applyFill="1" applyBorder="1" applyAlignment="1">
      <alignment wrapText="1"/>
    </xf>
    <xf numFmtId="49" fontId="9" fillId="7" borderId="5" xfId="0" applyNumberFormat="1" applyFont="1" applyFill="1" applyBorder="1"/>
    <xf numFmtId="49" fontId="9" fillId="7" borderId="5" xfId="0" applyNumberFormat="1" applyFont="1" applyFill="1" applyBorder="1" applyAlignment="1">
      <alignment wrapText="1"/>
    </xf>
    <xf numFmtId="4" fontId="9" fillId="0" borderId="13" xfId="0" applyNumberFormat="1" applyFont="1" applyBorder="1" applyAlignment="1">
      <alignment vertical="center"/>
    </xf>
    <xf numFmtId="4" fontId="9" fillId="5" borderId="2" xfId="0" applyNumberFormat="1" applyFont="1" applyFill="1" applyBorder="1" applyAlignment="1">
      <alignment vertical="center"/>
    </xf>
    <xf numFmtId="4" fontId="9" fillId="0" borderId="2" xfId="0" applyNumberFormat="1" applyFont="1" applyBorder="1" applyAlignment="1">
      <alignment vertical="center"/>
    </xf>
    <xf numFmtId="4" fontId="9" fillId="0" borderId="14" xfId="0" applyNumberFormat="1" applyFont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4" fontId="6" fillId="3" borderId="18" xfId="0" applyNumberFormat="1" applyFont="1" applyFill="1" applyBorder="1" applyAlignment="1">
      <alignment vertical="center"/>
    </xf>
    <xf numFmtId="0" fontId="8" fillId="0" borderId="2" xfId="0" applyFont="1" applyBorder="1"/>
    <xf numFmtId="0" fontId="5" fillId="0" borderId="5" xfId="1" applyFont="1" applyBorder="1" applyAlignment="1">
      <alignment horizontal="right" vertical="center" wrapText="1"/>
    </xf>
    <xf numFmtId="4" fontId="4" fillId="8" borderId="5" xfId="1" applyNumberFormat="1" applyFont="1" applyFill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13" fillId="0" borderId="5" xfId="1" applyFont="1" applyBorder="1" applyAlignment="1">
      <alignment horizontal="left" vertical="center" wrapText="1"/>
    </xf>
    <xf numFmtId="4" fontId="9" fillId="0" borderId="4" xfId="0" applyNumberFormat="1" applyFont="1" applyBorder="1" applyAlignment="1">
      <alignment vertical="center"/>
    </xf>
    <xf numFmtId="4" fontId="7" fillId="0" borderId="4" xfId="1" applyNumberFormat="1" applyFont="1" applyBorder="1" applyAlignment="1">
      <alignment horizontal="right" vertical="center" wrapText="1"/>
    </xf>
    <xf numFmtId="4" fontId="4" fillId="0" borderId="5" xfId="1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vertical="center"/>
    </xf>
    <xf numFmtId="4" fontId="7" fillId="0" borderId="5" xfId="1" applyNumberFormat="1" applyFont="1" applyBorder="1" applyAlignment="1">
      <alignment horizontal="right" vertical="center" wrapText="1"/>
    </xf>
    <xf numFmtId="4" fontId="4" fillId="2" borderId="22" xfId="1" applyNumberFormat="1" applyFont="1" applyFill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4" fontId="9" fillId="0" borderId="5" xfId="1" applyNumberFormat="1" applyFont="1" applyBorder="1" applyAlignment="1">
      <alignment horizontal="right" vertical="center" wrapText="1"/>
    </xf>
    <xf numFmtId="4" fontId="4" fillId="2" borderId="23" xfId="1" applyNumberFormat="1" applyFont="1" applyFill="1" applyBorder="1" applyAlignment="1">
      <alignment horizontal="right" vertical="center" wrapText="1"/>
    </xf>
    <xf numFmtId="4" fontId="4" fillId="0" borderId="24" xfId="1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right" vertical="center" wrapText="1"/>
    </xf>
    <xf numFmtId="4" fontId="9" fillId="8" borderId="13" xfId="0" applyNumberFormat="1" applyFont="1" applyFill="1" applyBorder="1" applyAlignment="1">
      <alignment vertical="center"/>
    </xf>
    <xf numFmtId="4" fontId="9" fillId="8" borderId="2" xfId="0" applyNumberFormat="1" applyFont="1" applyFill="1" applyBorder="1" applyAlignment="1">
      <alignment vertical="center"/>
    </xf>
    <xf numFmtId="4" fontId="9" fillId="8" borderId="5" xfId="0" applyNumberFormat="1" applyFont="1" applyFill="1" applyBorder="1" applyAlignment="1">
      <alignment vertical="center"/>
    </xf>
    <xf numFmtId="4" fontId="9" fillId="8" borderId="14" xfId="0" applyNumberFormat="1" applyFont="1" applyFill="1" applyBorder="1" applyAlignment="1">
      <alignment vertical="center"/>
    </xf>
    <xf numFmtId="4" fontId="9" fillId="8" borderId="4" xfId="0" applyNumberFormat="1" applyFont="1" applyFill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49" fontId="9" fillId="6" borderId="0" xfId="0" applyNumberFormat="1" applyFont="1" applyFill="1" applyAlignment="1">
      <alignment wrapText="1"/>
    </xf>
    <xf numFmtId="4" fontId="4" fillId="4" borderId="7" xfId="1" applyNumberFormat="1" applyFont="1" applyFill="1" applyBorder="1" applyAlignment="1">
      <alignment horizontal="left" vertical="center" wrapText="1"/>
    </xf>
    <xf numFmtId="4" fontId="4" fillId="4" borderId="3" xfId="1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8" fillId="0" borderId="6" xfId="0" applyFont="1" applyBorder="1"/>
    <xf numFmtId="4" fontId="8" fillId="0" borderId="6" xfId="0" applyNumberFormat="1" applyFont="1" applyBorder="1"/>
    <xf numFmtId="0" fontId="8" fillId="0" borderId="10" xfId="0" applyFont="1" applyBorder="1"/>
    <xf numFmtId="4" fontId="8" fillId="0" borderId="11" xfId="0" applyNumberFormat="1" applyFont="1" applyBorder="1"/>
    <xf numFmtId="4" fontId="8" fillId="0" borderId="12" xfId="0" applyNumberFormat="1" applyFont="1" applyBorder="1"/>
    <xf numFmtId="0" fontId="8" fillId="0" borderId="13" xfId="0" applyFont="1" applyBorder="1"/>
    <xf numFmtId="4" fontId="8" fillId="0" borderId="14" xfId="0" applyNumberFormat="1" applyFont="1" applyBorder="1"/>
    <xf numFmtId="0" fontId="6" fillId="0" borderId="18" xfId="0" applyFont="1" applyBorder="1"/>
    <xf numFmtId="4" fontId="8" fillId="0" borderId="19" xfId="0" applyNumberFormat="1" applyFont="1" applyBorder="1"/>
    <xf numFmtId="4" fontId="6" fillId="0" borderId="19" xfId="0" applyNumberFormat="1" applyFont="1" applyBorder="1"/>
    <xf numFmtId="4" fontId="6" fillId="0" borderId="20" xfId="0" applyNumberFormat="1" applyFont="1" applyBorder="1"/>
    <xf numFmtId="0" fontId="9" fillId="9" borderId="7" xfId="1" applyFont="1" applyFill="1" applyBorder="1" applyAlignment="1">
      <alignment vertical="top" wrapText="1"/>
    </xf>
    <xf numFmtId="4" fontId="6" fillId="0" borderId="0" xfId="0" applyNumberFormat="1" applyFont="1"/>
    <xf numFmtId="4" fontId="12" fillId="9" borderId="2" xfId="0" applyNumberFormat="1" applyFont="1" applyFill="1" applyBorder="1" applyAlignment="1">
      <alignment vertical="center"/>
    </xf>
    <xf numFmtId="4" fontId="12" fillId="9" borderId="13" xfId="0" applyNumberFormat="1" applyFont="1" applyFill="1" applyBorder="1" applyAlignment="1">
      <alignment vertical="center"/>
    </xf>
    <xf numFmtId="4" fontId="7" fillId="9" borderId="2" xfId="1" applyNumberFormat="1" applyFont="1" applyFill="1" applyBorder="1" applyAlignment="1">
      <alignment horizontal="right" vertical="center" wrapText="1"/>
    </xf>
    <xf numFmtId="4" fontId="7" fillId="9" borderId="5" xfId="1" applyNumberFormat="1" applyFont="1" applyFill="1" applyBorder="1" applyAlignment="1">
      <alignment horizontal="right" vertical="center" wrapText="1"/>
    </xf>
    <xf numFmtId="4" fontId="7" fillId="9" borderId="14" xfId="1" applyNumberFormat="1" applyFont="1" applyFill="1" applyBorder="1" applyAlignment="1">
      <alignment horizontal="right" vertical="center" wrapText="1"/>
    </xf>
    <xf numFmtId="4" fontId="9" fillId="9" borderId="2" xfId="1" applyNumberFormat="1" applyFont="1" applyFill="1" applyBorder="1" applyAlignment="1">
      <alignment horizontal="right" vertical="center" wrapText="1"/>
    </xf>
    <xf numFmtId="4" fontId="9" fillId="9" borderId="2" xfId="0" applyNumberFormat="1" applyFont="1" applyFill="1" applyBorder="1" applyAlignment="1">
      <alignment vertical="center"/>
    </xf>
    <xf numFmtId="4" fontId="9" fillId="9" borderId="5" xfId="0" applyNumberFormat="1" applyFont="1" applyFill="1" applyBorder="1" applyAlignment="1">
      <alignment vertical="center"/>
    </xf>
    <xf numFmtId="4" fontId="9" fillId="9" borderId="14" xfId="0" applyNumberFormat="1" applyFont="1" applyFill="1" applyBorder="1" applyAlignment="1">
      <alignment vertical="center"/>
    </xf>
    <xf numFmtId="4" fontId="9" fillId="9" borderId="13" xfId="0" applyNumberFormat="1" applyFont="1" applyFill="1" applyBorder="1" applyAlignment="1">
      <alignment vertical="center"/>
    </xf>
    <xf numFmtId="4" fontId="9" fillId="9" borderId="4" xfId="0" applyNumberFormat="1" applyFont="1" applyFill="1" applyBorder="1" applyAlignment="1">
      <alignment vertical="center"/>
    </xf>
    <xf numFmtId="0" fontId="8" fillId="9" borderId="5" xfId="1" applyFont="1" applyFill="1" applyBorder="1" applyAlignment="1">
      <alignment horizontal="left" vertical="center" wrapText="1"/>
    </xf>
    <xf numFmtId="4" fontId="11" fillId="0" borderId="0" xfId="0" applyNumberFormat="1" applyFont="1"/>
    <xf numFmtId="4" fontId="13" fillId="9" borderId="2" xfId="0" applyNumberFormat="1" applyFont="1" applyFill="1" applyBorder="1" applyAlignment="1">
      <alignment vertical="center"/>
    </xf>
    <xf numFmtId="4" fontId="15" fillId="0" borderId="2" xfId="0" applyNumberFormat="1" applyFont="1" applyBorder="1"/>
    <xf numFmtId="4" fontId="7" fillId="10" borderId="2" xfId="1" applyNumberFormat="1" applyFont="1" applyFill="1" applyBorder="1" applyAlignment="1">
      <alignment horizontal="right" vertical="center" wrapText="1"/>
    </xf>
    <xf numFmtId="4" fontId="9" fillId="10" borderId="2" xfId="1" applyNumberFormat="1" applyFont="1" applyFill="1" applyBorder="1" applyAlignment="1">
      <alignment horizontal="right" vertical="center" wrapText="1"/>
    </xf>
    <xf numFmtId="4" fontId="7" fillId="10" borderId="13" xfId="1" applyNumberFormat="1" applyFont="1" applyFill="1" applyBorder="1" applyAlignment="1">
      <alignment horizontal="right" vertical="center" wrapText="1"/>
    </xf>
    <xf numFmtId="0" fontId="6" fillId="0" borderId="5" xfId="1" applyFont="1" applyBorder="1" applyAlignment="1">
      <alignment horizontal="left" vertical="center" wrapText="1"/>
    </xf>
    <xf numFmtId="4" fontId="16" fillId="9" borderId="19" xfId="0" applyNumberFormat="1" applyFont="1" applyFill="1" applyBorder="1"/>
    <xf numFmtId="4" fontId="12" fillId="0" borderId="6" xfId="0" applyNumberFormat="1" applyFont="1" applyBorder="1"/>
    <xf numFmtId="0" fontId="12" fillId="9" borderId="7" xfId="1" applyFont="1" applyFill="1" applyBorder="1" applyAlignment="1">
      <alignment vertical="center" wrapText="1"/>
    </xf>
    <xf numFmtId="4" fontId="12" fillId="9" borderId="2" xfId="0" applyNumberFormat="1" applyFont="1" applyFill="1" applyBorder="1" applyAlignment="1">
      <alignment horizontal="right" vertical="center" wrapText="1"/>
    </xf>
    <xf numFmtId="0" fontId="8" fillId="0" borderId="28" xfId="0" applyFont="1" applyBorder="1"/>
    <xf numFmtId="4" fontId="8" fillId="0" borderId="28" xfId="0" applyNumberFormat="1" applyFont="1" applyBorder="1"/>
    <xf numFmtId="4" fontId="8" fillId="0" borderId="30" xfId="0" applyNumberFormat="1" applyFont="1" applyBorder="1"/>
    <xf numFmtId="4" fontId="16" fillId="0" borderId="31" xfId="0" applyNumberFormat="1" applyFont="1" applyBorder="1"/>
    <xf numFmtId="4" fontId="16" fillId="0" borderId="19" xfId="0" applyNumberFormat="1" applyFont="1" applyBorder="1"/>
    <xf numFmtId="0" fontId="6" fillId="9" borderId="29" xfId="0" applyFont="1" applyFill="1" applyBorder="1"/>
    <xf numFmtId="0" fontId="6" fillId="9" borderId="18" xfId="0" applyFont="1" applyFill="1" applyBorder="1"/>
    <xf numFmtId="0" fontId="8" fillId="11" borderId="5" xfId="1" applyFont="1" applyFill="1" applyBorder="1" applyAlignment="1">
      <alignment horizontal="left" vertical="center" wrapText="1"/>
    </xf>
    <xf numFmtId="4" fontId="9" fillId="12" borderId="2" xfId="0" applyNumberFormat="1" applyFont="1" applyFill="1" applyBorder="1" applyAlignment="1">
      <alignment vertical="center"/>
    </xf>
    <xf numFmtId="4" fontId="9" fillId="12" borderId="14" xfId="0" applyNumberFormat="1" applyFont="1" applyFill="1" applyBorder="1" applyAlignment="1">
      <alignment vertical="center"/>
    </xf>
    <xf numFmtId="49" fontId="9" fillId="12" borderId="5" xfId="0" applyNumberFormat="1" applyFont="1" applyFill="1" applyBorder="1" applyAlignment="1">
      <alignment vertical="center" wrapText="1"/>
    </xf>
    <xf numFmtId="4" fontId="9" fillId="12" borderId="5" xfId="0" applyNumberFormat="1" applyFont="1" applyFill="1" applyBorder="1" applyAlignment="1">
      <alignment vertical="center"/>
    </xf>
    <xf numFmtId="4" fontId="9" fillId="12" borderId="4" xfId="0" applyNumberFormat="1" applyFont="1" applyFill="1" applyBorder="1" applyAlignment="1">
      <alignment vertical="center"/>
    </xf>
    <xf numFmtId="49" fontId="9" fillId="12" borderId="5" xfId="0" applyNumberFormat="1" applyFont="1" applyFill="1" applyBorder="1" applyAlignment="1">
      <alignment wrapText="1"/>
    </xf>
    <xf numFmtId="4" fontId="7" fillId="12" borderId="14" xfId="1" applyNumberFormat="1" applyFont="1" applyFill="1" applyBorder="1" applyAlignment="1">
      <alignment horizontal="right" vertical="center" wrapText="1"/>
    </xf>
    <xf numFmtId="4" fontId="7" fillId="12" borderId="4" xfId="1" applyNumberFormat="1" applyFont="1" applyFill="1" applyBorder="1" applyAlignment="1">
      <alignment horizontal="right" vertical="center" wrapText="1"/>
    </xf>
    <xf numFmtId="49" fontId="9" fillId="0" borderId="5" xfId="0" applyNumberFormat="1" applyFont="1" applyBorder="1" applyAlignment="1">
      <alignment vertical="center" wrapText="1"/>
    </xf>
    <xf numFmtId="4" fontId="12" fillId="0" borderId="2" xfId="0" applyNumberFormat="1" applyFont="1" applyBorder="1" applyAlignment="1">
      <alignment horizontal="right" vertical="center" wrapText="1"/>
    </xf>
    <xf numFmtId="49" fontId="9" fillId="0" borderId="5" xfId="0" applyNumberFormat="1" applyFont="1" applyBorder="1" applyAlignment="1">
      <alignment wrapText="1"/>
    </xf>
    <xf numFmtId="4" fontId="9" fillId="0" borderId="4" xfId="1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wrapText="1"/>
    </xf>
    <xf numFmtId="49" fontId="9" fillId="0" borderId="5" xfId="0" applyNumberFormat="1" applyFont="1" applyBorder="1"/>
    <xf numFmtId="0" fontId="16" fillId="9" borderId="7" xfId="1" applyFont="1" applyFill="1" applyBorder="1" applyAlignment="1">
      <alignment vertical="center" wrapText="1"/>
    </xf>
    <xf numFmtId="4" fontId="16" fillId="9" borderId="2" xfId="0" applyNumberFormat="1" applyFont="1" applyFill="1" applyBorder="1" applyAlignment="1">
      <alignment horizontal="right" vertical="center" wrapText="1"/>
    </xf>
    <xf numFmtId="4" fontId="9" fillId="0" borderId="0" xfId="0" applyNumberFormat="1" applyFont="1" applyAlignment="1">
      <alignment vertical="center"/>
    </xf>
    <xf numFmtId="0" fontId="16" fillId="9" borderId="5" xfId="1" applyFont="1" applyFill="1" applyBorder="1" applyAlignment="1">
      <alignment horizontal="left" vertical="center" wrapText="1"/>
    </xf>
    <xf numFmtId="4" fontId="16" fillId="9" borderId="5" xfId="0" applyNumberFormat="1" applyFont="1" applyFill="1" applyBorder="1" applyAlignment="1">
      <alignment vertical="center"/>
    </xf>
    <xf numFmtId="4" fontId="6" fillId="0" borderId="21" xfId="0" applyNumberFormat="1" applyFont="1" applyBorder="1" applyAlignment="1">
      <alignment horizontal="center" vertical="center" wrapText="1"/>
    </xf>
    <xf numFmtId="4" fontId="4" fillId="8" borderId="5" xfId="1" applyNumberFormat="1" applyFont="1" applyFill="1" applyBorder="1" applyAlignment="1">
      <alignment horizontal="center" vertical="center" wrapText="1"/>
    </xf>
    <xf numFmtId="4" fontId="16" fillId="9" borderId="5" xfId="0" applyNumberFormat="1" applyFont="1" applyFill="1" applyBorder="1" applyAlignment="1">
      <alignment horizontal="right" vertical="center" wrapText="1"/>
    </xf>
    <xf numFmtId="4" fontId="4" fillId="2" borderId="32" xfId="1" applyNumberFormat="1" applyFont="1" applyFill="1" applyBorder="1" applyAlignment="1">
      <alignment horizontal="right" vertical="center" wrapText="1"/>
    </xf>
    <xf numFmtId="4" fontId="4" fillId="4" borderId="22" xfId="1" applyNumberFormat="1" applyFont="1" applyFill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16" fillId="9" borderId="4" xfId="0" applyNumberFormat="1" applyFont="1" applyFill="1" applyBorder="1" applyAlignment="1">
      <alignment horizontal="right" vertical="center" wrapText="1"/>
    </xf>
    <xf numFmtId="4" fontId="9" fillId="0" borderId="33" xfId="0" applyNumberFormat="1" applyFont="1" applyBorder="1" applyAlignment="1">
      <alignment vertical="center"/>
    </xf>
    <xf numFmtId="49" fontId="9" fillId="7" borderId="0" xfId="0" applyNumberFormat="1" applyFont="1" applyFill="1" applyAlignment="1">
      <alignment vertical="center" wrapText="1"/>
    </xf>
    <xf numFmtId="0" fontId="7" fillId="0" borderId="9" xfId="1" applyFont="1" applyBorder="1" applyAlignment="1">
      <alignment vertical="center" wrapText="1"/>
    </xf>
    <xf numFmtId="49" fontId="9" fillId="7" borderId="2" xfId="0" applyNumberFormat="1" applyFont="1" applyFill="1" applyBorder="1" applyAlignment="1">
      <alignment vertical="center" wrapText="1"/>
    </xf>
    <xf numFmtId="4" fontId="16" fillId="9" borderId="13" xfId="0" applyNumberFormat="1" applyFont="1" applyFill="1" applyBorder="1" applyAlignment="1">
      <alignment horizontal="right" vertical="center" wrapText="1"/>
    </xf>
    <xf numFmtId="4" fontId="16" fillId="9" borderId="14" xfId="0" applyNumberFormat="1" applyFont="1" applyFill="1" applyBorder="1" applyAlignment="1">
      <alignment horizontal="right" vertical="center" wrapText="1"/>
    </xf>
    <xf numFmtId="4" fontId="9" fillId="12" borderId="13" xfId="0" applyNumberFormat="1" applyFont="1" applyFill="1" applyBorder="1" applyAlignment="1">
      <alignment vertical="center"/>
    </xf>
    <xf numFmtId="4" fontId="4" fillId="0" borderId="13" xfId="1" applyNumberFormat="1" applyFont="1" applyBorder="1" applyAlignment="1">
      <alignment horizontal="right" vertical="center" wrapText="1"/>
    </xf>
    <xf numFmtId="4" fontId="4" fillId="0" borderId="14" xfId="1" applyNumberFormat="1" applyFont="1" applyBorder="1" applyAlignment="1">
      <alignment horizontal="right" vertical="center" wrapText="1"/>
    </xf>
    <xf numFmtId="4" fontId="8" fillId="0" borderId="13" xfId="0" applyNumberFormat="1" applyFont="1" applyBorder="1"/>
    <xf numFmtId="0" fontId="9" fillId="7" borderId="7" xfId="1" applyFont="1" applyFill="1" applyBorder="1" applyAlignment="1">
      <alignment vertical="top" wrapText="1"/>
    </xf>
    <xf numFmtId="0" fontId="8" fillId="7" borderId="5" xfId="1" applyFont="1" applyFill="1" applyBorder="1" applyAlignment="1">
      <alignment horizontal="left" vertical="center" wrapText="1"/>
    </xf>
    <xf numFmtId="4" fontId="4" fillId="0" borderId="33" xfId="1" applyNumberFormat="1" applyFont="1" applyBorder="1" applyAlignment="1">
      <alignment horizontal="center" vertical="center" wrapText="1"/>
    </xf>
    <xf numFmtId="4" fontId="7" fillId="0" borderId="33" xfId="1" applyNumberFormat="1" applyFont="1" applyBorder="1" applyAlignment="1">
      <alignment horizontal="right" vertical="center" wrapText="1"/>
    </xf>
    <xf numFmtId="4" fontId="16" fillId="9" borderId="33" xfId="0" applyNumberFormat="1" applyFont="1" applyFill="1" applyBorder="1" applyAlignment="1">
      <alignment horizontal="right" vertical="center" wrapText="1"/>
    </xf>
    <xf numFmtId="4" fontId="4" fillId="2" borderId="34" xfId="1" applyNumberFormat="1" applyFont="1" applyFill="1" applyBorder="1" applyAlignment="1">
      <alignment horizontal="right" vertical="center" wrapText="1"/>
    </xf>
    <xf numFmtId="4" fontId="9" fillId="12" borderId="33" xfId="0" applyNumberFormat="1" applyFont="1" applyFill="1" applyBorder="1" applyAlignment="1">
      <alignment vertical="center"/>
    </xf>
    <xf numFmtId="4" fontId="4" fillId="4" borderId="34" xfId="1" applyNumberFormat="1" applyFont="1" applyFill="1" applyBorder="1" applyAlignment="1">
      <alignment horizontal="right" vertical="center" wrapText="1"/>
    </xf>
    <xf numFmtId="4" fontId="4" fillId="0" borderId="33" xfId="1" applyNumberFormat="1" applyFont="1" applyBorder="1" applyAlignment="1">
      <alignment horizontal="right" vertical="center" wrapText="1"/>
    </xf>
    <xf numFmtId="4" fontId="9" fillId="8" borderId="33" xfId="0" applyNumberFormat="1" applyFont="1" applyFill="1" applyBorder="1" applyAlignment="1">
      <alignment vertical="center"/>
    </xf>
    <xf numFmtId="4" fontId="6" fillId="3" borderId="19" xfId="0" applyNumberFormat="1" applyFont="1" applyFill="1" applyBorder="1" applyAlignment="1">
      <alignment vertical="center"/>
    </xf>
    <xf numFmtId="4" fontId="4" fillId="8" borderId="35" xfId="1" applyNumberFormat="1" applyFont="1" applyFill="1" applyBorder="1" applyAlignment="1">
      <alignment horizontal="center" vertical="center" wrapText="1"/>
    </xf>
    <xf numFmtId="4" fontId="4" fillId="8" borderId="14" xfId="1" applyNumberFormat="1" applyFont="1" applyFill="1" applyBorder="1" applyAlignment="1">
      <alignment horizontal="center" vertical="center" wrapText="1"/>
    </xf>
    <xf numFmtId="4" fontId="4" fillId="2" borderId="36" xfId="1" applyNumberFormat="1" applyFont="1" applyFill="1" applyBorder="1" applyAlignment="1">
      <alignment horizontal="right" vertical="center" wrapText="1"/>
    </xf>
    <xf numFmtId="4" fontId="4" fillId="2" borderId="37" xfId="1" applyNumberFormat="1" applyFont="1" applyFill="1" applyBorder="1" applyAlignment="1">
      <alignment horizontal="right" vertical="center" wrapText="1"/>
    </xf>
    <xf numFmtId="4" fontId="4" fillId="4" borderId="15" xfId="1" applyNumberFormat="1" applyFont="1" applyFill="1" applyBorder="1" applyAlignment="1">
      <alignment horizontal="right" vertical="center" wrapText="1"/>
    </xf>
    <xf numFmtId="4" fontId="4" fillId="4" borderId="16" xfId="1" applyNumberFormat="1" applyFont="1" applyFill="1" applyBorder="1" applyAlignment="1">
      <alignment horizontal="right" vertical="center" wrapText="1"/>
    </xf>
    <xf numFmtId="4" fontId="6" fillId="3" borderId="38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16" fillId="0" borderId="28" xfId="0" applyFont="1" applyBorder="1"/>
    <xf numFmtId="0" fontId="16" fillId="0" borderId="0" xfId="0" applyFont="1"/>
    <xf numFmtId="0" fontId="16" fillId="9" borderId="29" xfId="0" applyFont="1" applyFill="1" applyBorder="1"/>
    <xf numFmtId="0" fontId="8" fillId="13" borderId="5" xfId="1" applyFont="1" applyFill="1" applyBorder="1" applyAlignment="1">
      <alignment horizontal="left" vertical="center" wrapText="1"/>
    </xf>
    <xf numFmtId="4" fontId="9" fillId="0" borderId="17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6" fillId="0" borderId="39" xfId="1" applyFont="1" applyBorder="1" applyAlignment="1">
      <alignment horizontal="left" vertical="center" wrapText="1"/>
    </xf>
    <xf numFmtId="4" fontId="4" fillId="2" borderId="9" xfId="1" applyNumberFormat="1" applyFont="1" applyFill="1" applyBorder="1" applyAlignment="1">
      <alignment horizontal="left" vertical="center" wrapText="1"/>
    </xf>
    <xf numFmtId="4" fontId="4" fillId="2" borderId="40" xfId="1" applyNumberFormat="1" applyFont="1" applyFill="1" applyBorder="1" applyAlignment="1">
      <alignment horizontal="right" vertical="center" wrapText="1"/>
    </xf>
    <xf numFmtId="0" fontId="8" fillId="13" borderId="2" xfId="1" applyFont="1" applyFill="1" applyBorder="1" applyAlignment="1">
      <alignment horizontal="left" vertical="center" wrapText="1"/>
    </xf>
    <xf numFmtId="4" fontId="6" fillId="0" borderId="0" xfId="0" applyNumberFormat="1" applyFont="1" applyAlignment="1">
      <alignment horizontal="center"/>
    </xf>
    <xf numFmtId="4" fontId="8" fillId="0" borderId="4" xfId="1" applyNumberFormat="1" applyFont="1" applyBorder="1" applyAlignment="1">
      <alignment horizontal="right" vertical="center" wrapText="1"/>
    </xf>
    <xf numFmtId="4" fontId="4" fillId="2" borderId="41" xfId="1" applyNumberFormat="1" applyFont="1" applyFill="1" applyBorder="1" applyAlignment="1">
      <alignment horizontal="right" vertical="center" wrapText="1"/>
    </xf>
    <xf numFmtId="4" fontId="4" fillId="0" borderId="4" xfId="1" applyNumberFormat="1" applyFont="1" applyBorder="1" applyAlignment="1">
      <alignment horizontal="center" vertical="center" wrapText="1"/>
    </xf>
    <xf numFmtId="4" fontId="9" fillId="0" borderId="33" xfId="1" applyNumberFormat="1" applyFont="1" applyBorder="1" applyAlignment="1">
      <alignment horizontal="right" vertical="center" wrapText="1"/>
    </xf>
    <xf numFmtId="4" fontId="4" fillId="2" borderId="42" xfId="1" applyNumberFormat="1" applyFont="1" applyFill="1" applyBorder="1" applyAlignment="1">
      <alignment horizontal="right" vertical="center" wrapText="1"/>
    </xf>
    <xf numFmtId="4" fontId="4" fillId="2" borderId="2" xfId="1" applyNumberFormat="1" applyFont="1" applyFill="1" applyBorder="1" applyAlignment="1">
      <alignment horizontal="right" vertical="center" wrapText="1"/>
    </xf>
    <xf numFmtId="4" fontId="4" fillId="4" borderId="2" xfId="1" applyNumberFormat="1" applyFont="1" applyFill="1" applyBorder="1" applyAlignment="1">
      <alignment horizontal="right" vertical="center" wrapText="1"/>
    </xf>
    <xf numFmtId="4" fontId="6" fillId="3" borderId="2" xfId="0" applyNumberFormat="1" applyFont="1" applyFill="1" applyBorder="1" applyAlignment="1">
      <alignment vertical="center"/>
    </xf>
    <xf numFmtId="4" fontId="4" fillId="0" borderId="43" xfId="1" applyNumberFormat="1" applyFont="1" applyBorder="1" applyAlignment="1">
      <alignment horizontal="right" vertical="center" wrapText="1"/>
    </xf>
    <xf numFmtId="4" fontId="4" fillId="0" borderId="44" xfId="1" applyNumberFormat="1" applyFont="1" applyBorder="1" applyAlignment="1">
      <alignment horizontal="right" vertical="center" wrapText="1"/>
    </xf>
    <xf numFmtId="4" fontId="4" fillId="8" borderId="2" xfId="1" applyNumberFormat="1" applyFont="1" applyFill="1" applyBorder="1" applyAlignment="1">
      <alignment horizontal="center" vertical="center" wrapText="1"/>
    </xf>
    <xf numFmtId="4" fontId="4" fillId="8" borderId="11" xfId="1" applyNumberFormat="1" applyFont="1" applyFill="1" applyBorder="1" applyAlignment="1">
      <alignment horizontal="center" vertical="center" wrapText="1"/>
    </xf>
    <xf numFmtId="4" fontId="4" fillId="8" borderId="12" xfId="1" applyNumberFormat="1" applyFont="1" applyFill="1" applyBorder="1" applyAlignment="1">
      <alignment horizontal="center" vertical="center" wrapText="1"/>
    </xf>
    <xf numFmtId="4" fontId="4" fillId="2" borderId="13" xfId="1" applyNumberFormat="1" applyFont="1" applyFill="1" applyBorder="1" applyAlignment="1">
      <alignment horizontal="right" vertical="center" wrapText="1"/>
    </xf>
    <xf numFmtId="4" fontId="4" fillId="2" borderId="14" xfId="1" applyNumberFormat="1" applyFont="1" applyFill="1" applyBorder="1" applyAlignment="1">
      <alignment horizontal="right" vertical="center" wrapText="1"/>
    </xf>
    <xf numFmtId="4" fontId="4" fillId="4" borderId="46" xfId="1" applyNumberFormat="1" applyFont="1" applyFill="1" applyBorder="1" applyAlignment="1">
      <alignment horizontal="right" vertical="center" wrapText="1"/>
    </xf>
    <xf numFmtId="4" fontId="4" fillId="4" borderId="47" xfId="1" applyNumberFormat="1" applyFont="1" applyFill="1" applyBorder="1" applyAlignment="1">
      <alignment horizontal="right" vertical="center" wrapText="1"/>
    </xf>
    <xf numFmtId="4" fontId="7" fillId="12" borderId="5" xfId="1" applyNumberFormat="1" applyFont="1" applyFill="1" applyBorder="1" applyAlignment="1">
      <alignment horizontal="right" vertical="center" wrapText="1"/>
    </xf>
    <xf numFmtId="4" fontId="4" fillId="0" borderId="50" xfId="1" applyNumberFormat="1" applyFont="1" applyBorder="1" applyAlignment="1">
      <alignment horizontal="center" vertical="center" wrapText="1"/>
    </xf>
    <xf numFmtId="4" fontId="4" fillId="2" borderId="33" xfId="1" applyNumberFormat="1" applyFont="1" applyFill="1" applyBorder="1" applyAlignment="1">
      <alignment horizontal="right" vertical="center" wrapText="1"/>
    </xf>
    <xf numFmtId="4" fontId="7" fillId="12" borderId="13" xfId="1" applyNumberFormat="1" applyFont="1" applyFill="1" applyBorder="1" applyAlignment="1">
      <alignment horizontal="right" vertical="center" wrapText="1"/>
    </xf>
    <xf numFmtId="4" fontId="4" fillId="4" borderId="13" xfId="1" applyNumberFormat="1" applyFont="1" applyFill="1" applyBorder="1" applyAlignment="1">
      <alignment horizontal="right" vertical="center" wrapText="1"/>
    </xf>
    <xf numFmtId="4" fontId="4" fillId="4" borderId="14" xfId="1" applyNumberFormat="1" applyFont="1" applyFill="1" applyBorder="1" applyAlignment="1">
      <alignment horizontal="right" vertical="center" wrapText="1"/>
    </xf>
    <xf numFmtId="4" fontId="6" fillId="3" borderId="45" xfId="0" applyNumberFormat="1" applyFont="1" applyFill="1" applyBorder="1" applyAlignment="1">
      <alignment vertical="center"/>
    </xf>
    <xf numFmtId="4" fontId="6" fillId="3" borderId="46" xfId="0" applyNumberFormat="1" applyFont="1" applyFill="1" applyBorder="1" applyAlignment="1">
      <alignment vertical="center"/>
    </xf>
    <xf numFmtId="4" fontId="6" fillId="3" borderId="47" xfId="0" applyNumberFormat="1" applyFont="1" applyFill="1" applyBorder="1" applyAlignment="1">
      <alignment vertical="center"/>
    </xf>
    <xf numFmtId="4" fontId="4" fillId="0" borderId="35" xfId="1" applyNumberFormat="1" applyFont="1" applyBorder="1" applyAlignment="1">
      <alignment horizontal="center" vertical="center" wrapText="1"/>
    </xf>
    <xf numFmtId="4" fontId="9" fillId="0" borderId="35" xfId="0" applyNumberFormat="1" applyFont="1" applyBorder="1" applyAlignment="1">
      <alignment vertical="center"/>
    </xf>
    <xf numFmtId="4" fontId="7" fillId="0" borderId="35" xfId="1" applyNumberFormat="1" applyFont="1" applyBorder="1" applyAlignment="1">
      <alignment horizontal="right" vertical="center" wrapText="1"/>
    </xf>
    <xf numFmtId="4" fontId="10" fillId="0" borderId="35" xfId="0" applyNumberFormat="1" applyFont="1" applyBorder="1" applyAlignment="1">
      <alignment horizontal="right" vertical="center" wrapText="1"/>
    </xf>
    <xf numFmtId="4" fontId="9" fillId="0" borderId="35" xfId="1" applyNumberFormat="1" applyFont="1" applyBorder="1" applyAlignment="1">
      <alignment horizontal="right" vertical="center" wrapText="1"/>
    </xf>
    <xf numFmtId="4" fontId="9" fillId="8" borderId="35" xfId="0" applyNumberFormat="1" applyFont="1" applyFill="1" applyBorder="1" applyAlignment="1">
      <alignment vertical="center"/>
    </xf>
    <xf numFmtId="4" fontId="4" fillId="2" borderId="5" xfId="1" applyNumberFormat="1" applyFont="1" applyFill="1" applyBorder="1" applyAlignment="1">
      <alignment horizontal="right" vertical="center" wrapText="1"/>
    </xf>
    <xf numFmtId="4" fontId="4" fillId="4" borderId="5" xfId="1" applyNumberFormat="1" applyFont="1" applyFill="1" applyBorder="1" applyAlignment="1">
      <alignment horizontal="right" vertical="center" wrapText="1"/>
    </xf>
    <xf numFmtId="4" fontId="4" fillId="0" borderId="5" xfId="1" applyNumberFormat="1" applyFont="1" applyBorder="1" applyAlignment="1">
      <alignment horizontal="right" vertical="center" wrapText="1"/>
    </xf>
    <xf numFmtId="4" fontId="6" fillId="3" borderId="51" xfId="0" applyNumberFormat="1" applyFont="1" applyFill="1" applyBorder="1" applyAlignment="1">
      <alignment vertical="center"/>
    </xf>
    <xf numFmtId="4" fontId="4" fillId="2" borderId="9" xfId="1" applyNumberFormat="1" applyFont="1" applyFill="1" applyBorder="1" applyAlignment="1">
      <alignment horizontal="right" vertical="center" wrapText="1"/>
    </xf>
    <xf numFmtId="4" fontId="6" fillId="3" borderId="33" xfId="0" applyNumberFormat="1" applyFont="1" applyFill="1" applyBorder="1" applyAlignment="1">
      <alignment vertical="center"/>
    </xf>
    <xf numFmtId="0" fontId="8" fillId="0" borderId="52" xfId="0" applyFont="1" applyBorder="1"/>
    <xf numFmtId="4" fontId="8" fillId="0" borderId="31" xfId="0" applyNumberFormat="1" applyFont="1" applyBorder="1"/>
    <xf numFmtId="0" fontId="16" fillId="9" borderId="7" xfId="1" applyFont="1" applyFill="1" applyBorder="1" applyAlignment="1">
      <alignment vertical="top" wrapText="1"/>
    </xf>
    <xf numFmtId="4" fontId="16" fillId="9" borderId="4" xfId="0" applyNumberFormat="1" applyFont="1" applyFill="1" applyBorder="1" applyAlignment="1">
      <alignment vertical="center"/>
    </xf>
    <xf numFmtId="4" fontId="16" fillId="9" borderId="13" xfId="0" applyNumberFormat="1" applyFont="1" applyFill="1" applyBorder="1" applyAlignment="1">
      <alignment vertical="center"/>
    </xf>
    <xf numFmtId="4" fontId="11" fillId="9" borderId="0" xfId="0" applyNumberFormat="1" applyFont="1" applyFill="1"/>
    <xf numFmtId="0" fontId="18" fillId="9" borderId="5" xfId="1" applyFont="1" applyFill="1" applyBorder="1" applyAlignment="1">
      <alignment horizontal="left" vertical="center" wrapText="1"/>
    </xf>
    <xf numFmtId="4" fontId="13" fillId="0" borderId="13" xfId="0" applyNumberFormat="1" applyFont="1" applyBorder="1" applyAlignment="1">
      <alignment vertical="center"/>
    </xf>
    <xf numFmtId="4" fontId="13" fillId="0" borderId="35" xfId="0" applyNumberFormat="1" applyFont="1" applyBorder="1" applyAlignment="1">
      <alignment vertical="center"/>
    </xf>
    <xf numFmtId="4" fontId="13" fillId="5" borderId="2" xfId="0" applyNumberFormat="1" applyFont="1" applyFill="1" applyBorder="1" applyAlignment="1">
      <alignment vertical="center"/>
    </xf>
    <xf numFmtId="4" fontId="13" fillId="0" borderId="2" xfId="0" applyNumberFormat="1" applyFont="1" applyBorder="1" applyAlignment="1">
      <alignment vertical="center"/>
    </xf>
    <xf numFmtId="4" fontId="18" fillId="9" borderId="2" xfId="0" applyNumberFormat="1" applyFont="1" applyFill="1" applyBorder="1" applyAlignment="1">
      <alignment vertical="center"/>
    </xf>
    <xf numFmtId="4" fontId="13" fillId="0" borderId="5" xfId="0" applyNumberFormat="1" applyFont="1" applyBorder="1" applyAlignment="1">
      <alignment vertical="center"/>
    </xf>
    <xf numFmtId="4" fontId="13" fillId="0" borderId="14" xfId="0" applyNumberFormat="1" applyFont="1" applyBorder="1" applyAlignment="1">
      <alignment vertical="center"/>
    </xf>
    <xf numFmtId="4" fontId="13" fillId="0" borderId="4" xfId="0" applyNumberFormat="1" applyFont="1" applyBorder="1" applyAlignment="1">
      <alignment vertical="center"/>
    </xf>
    <xf numFmtId="4" fontId="18" fillId="9" borderId="4" xfId="0" applyNumberFormat="1" applyFont="1" applyFill="1" applyBorder="1" applyAlignment="1">
      <alignment vertical="center"/>
    </xf>
    <xf numFmtId="4" fontId="18" fillId="9" borderId="5" xfId="0" applyNumberFormat="1" applyFont="1" applyFill="1" applyBorder="1" applyAlignment="1">
      <alignment vertical="center"/>
    </xf>
    <xf numFmtId="4" fontId="12" fillId="9" borderId="13" xfId="1" applyNumberFormat="1" applyFont="1" applyFill="1" applyBorder="1" applyAlignment="1">
      <alignment horizontal="right" vertical="center" wrapText="1"/>
    </xf>
    <xf numFmtId="0" fontId="16" fillId="0" borderId="7" xfId="1" applyFont="1" applyBorder="1" applyAlignment="1">
      <alignment vertical="top" wrapText="1"/>
    </xf>
    <xf numFmtId="4" fontId="16" fillId="0" borderId="4" xfId="0" applyNumberFormat="1" applyFont="1" applyBorder="1" applyAlignment="1">
      <alignment vertical="center"/>
    </xf>
    <xf numFmtId="0" fontId="16" fillId="0" borderId="7" xfId="1" applyFont="1" applyBorder="1" applyAlignment="1">
      <alignment vertical="center" wrapText="1"/>
    </xf>
    <xf numFmtId="4" fontId="16" fillId="0" borderId="13" xfId="0" applyNumberFormat="1" applyFont="1" applyBorder="1" applyAlignment="1">
      <alignment vertical="center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33" xfId="0" applyNumberFormat="1" applyFont="1" applyBorder="1" applyAlignment="1">
      <alignment horizontal="right" vertical="center" wrapText="1"/>
    </xf>
    <xf numFmtId="4" fontId="16" fillId="0" borderId="5" xfId="0" applyNumberFormat="1" applyFont="1" applyBorder="1" applyAlignment="1">
      <alignment horizontal="right" vertical="center" wrapText="1"/>
    </xf>
    <xf numFmtId="4" fontId="16" fillId="0" borderId="14" xfId="0" applyNumberFormat="1" applyFont="1" applyBorder="1" applyAlignment="1">
      <alignment horizontal="right" vertical="center" wrapText="1"/>
    </xf>
    <xf numFmtId="4" fontId="16" fillId="0" borderId="13" xfId="0" applyNumberFormat="1" applyFont="1" applyBorder="1" applyAlignment="1">
      <alignment horizontal="right" vertical="center" wrapText="1"/>
    </xf>
    <xf numFmtId="0" fontId="12" fillId="9" borderId="7" xfId="1" applyFont="1" applyFill="1" applyBorder="1" applyAlignment="1">
      <alignment vertical="top" wrapText="1"/>
    </xf>
    <xf numFmtId="4" fontId="16" fillId="0" borderId="0" xfId="0" applyNumberFormat="1" applyFont="1"/>
    <xf numFmtId="4" fontId="12" fillId="0" borderId="0" xfId="0" applyNumberFormat="1" applyFont="1"/>
    <xf numFmtId="0" fontId="6" fillId="10" borderId="0" xfId="0" applyFont="1" applyFill="1" applyAlignment="1">
      <alignment horizontal="center"/>
    </xf>
    <xf numFmtId="0" fontId="6" fillId="14" borderId="0" xfId="0" applyFont="1" applyFill="1" applyAlignment="1">
      <alignment horizontal="center"/>
    </xf>
    <xf numFmtId="4" fontId="8" fillId="14" borderId="0" xfId="0" applyNumberFormat="1" applyFont="1" applyFill="1"/>
    <xf numFmtId="4" fontId="8" fillId="14" borderId="30" xfId="0" applyNumberFormat="1" applyFont="1" applyFill="1" applyBorder="1"/>
    <xf numFmtId="4" fontId="16" fillId="14" borderId="31" xfId="0" applyNumberFormat="1" applyFont="1" applyFill="1" applyBorder="1"/>
    <xf numFmtId="4" fontId="6" fillId="14" borderId="0" xfId="0" applyNumberFormat="1" applyFont="1" applyFill="1"/>
    <xf numFmtId="4" fontId="6" fillId="14" borderId="0" xfId="0" applyNumberFormat="1" applyFont="1" applyFill="1" applyAlignment="1">
      <alignment horizontal="center"/>
    </xf>
    <xf numFmtId="4" fontId="8" fillId="10" borderId="11" xfId="0" applyNumberFormat="1" applyFont="1" applyFill="1" applyBorder="1"/>
    <xf numFmtId="4" fontId="8" fillId="10" borderId="12" xfId="0" applyNumberFormat="1" applyFont="1" applyFill="1" applyBorder="1"/>
    <xf numFmtId="4" fontId="8" fillId="10" borderId="2" xfId="0" applyNumberFormat="1" applyFont="1" applyFill="1" applyBorder="1"/>
    <xf numFmtId="4" fontId="8" fillId="10" borderId="14" xfId="0" applyNumberFormat="1" applyFont="1" applyFill="1" applyBorder="1"/>
    <xf numFmtId="4" fontId="6" fillId="10" borderId="19" xfId="0" applyNumberFormat="1" applyFont="1" applyFill="1" applyBorder="1"/>
    <xf numFmtId="4" fontId="16" fillId="10" borderId="19" xfId="0" applyNumberFormat="1" applyFont="1" applyFill="1" applyBorder="1"/>
    <xf numFmtId="4" fontId="6" fillId="10" borderId="20" xfId="0" applyNumberFormat="1" applyFont="1" applyFill="1" applyBorder="1"/>
    <xf numFmtId="4" fontId="4" fillId="9" borderId="2" xfId="1" applyNumberFormat="1" applyFont="1" applyFill="1" applyBorder="1" applyAlignment="1">
      <alignment horizontal="center" vertical="center" wrapText="1"/>
    </xf>
    <xf numFmtId="4" fontId="4" fillId="9" borderId="13" xfId="1" applyNumberFormat="1" applyFont="1" applyFill="1" applyBorder="1" applyAlignment="1">
      <alignment horizontal="center" vertical="center" wrapText="1"/>
    </xf>
    <xf numFmtId="4" fontId="4" fillId="12" borderId="2" xfId="1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4" fontId="9" fillId="5" borderId="5" xfId="0" applyNumberFormat="1" applyFont="1" applyFill="1" applyBorder="1" applyAlignment="1">
      <alignment vertical="center"/>
    </xf>
    <xf numFmtId="4" fontId="12" fillId="0" borderId="4" xfId="1" applyNumberFormat="1" applyFont="1" applyBorder="1" applyAlignment="1">
      <alignment horizontal="right" vertical="center" wrapText="1"/>
    </xf>
    <xf numFmtId="4" fontId="12" fillId="0" borderId="2" xfId="1" applyNumberFormat="1" applyFont="1" applyBorder="1" applyAlignment="1">
      <alignment horizontal="right" vertical="center" wrapText="1"/>
    </xf>
    <xf numFmtId="4" fontId="12" fillId="0" borderId="5" xfId="0" applyNumberFormat="1" applyFont="1" applyBorder="1" applyAlignment="1">
      <alignment vertical="center"/>
    </xf>
    <xf numFmtId="4" fontId="9" fillId="9" borderId="33" xfId="0" applyNumberFormat="1" applyFont="1" applyFill="1" applyBorder="1" applyAlignment="1">
      <alignment vertical="center"/>
    </xf>
    <xf numFmtId="0" fontId="7" fillId="9" borderId="7" xfId="1" applyFont="1" applyFill="1" applyBorder="1" applyAlignment="1">
      <alignment vertical="center" wrapText="1"/>
    </xf>
    <xf numFmtId="4" fontId="9" fillId="9" borderId="13" xfId="1" applyNumberFormat="1" applyFont="1" applyFill="1" applyBorder="1" applyAlignment="1">
      <alignment horizontal="right" vertical="center" wrapText="1"/>
    </xf>
    <xf numFmtId="49" fontId="9" fillId="8" borderId="5" xfId="0" applyNumberFormat="1" applyFont="1" applyFill="1" applyBorder="1" applyAlignment="1">
      <alignment wrapText="1"/>
    </xf>
    <xf numFmtId="49" fontId="9" fillId="8" borderId="5" xfId="0" applyNumberFormat="1" applyFont="1" applyFill="1" applyBorder="1" applyAlignment="1">
      <alignment vertical="center" wrapText="1"/>
    </xf>
    <xf numFmtId="49" fontId="9" fillId="8" borderId="5" xfId="0" applyNumberFormat="1" applyFont="1" applyFill="1" applyBorder="1"/>
    <xf numFmtId="4" fontId="4" fillId="12" borderId="3" xfId="1" applyNumberFormat="1" applyFont="1" applyFill="1" applyBorder="1" applyAlignment="1">
      <alignment horizontal="right" vertical="center" wrapText="1"/>
    </xf>
    <xf numFmtId="0" fontId="9" fillId="8" borderId="5" xfId="1" applyFont="1" applyFill="1" applyBorder="1" applyAlignment="1">
      <alignment horizontal="left" vertical="center" wrapText="1"/>
    </xf>
    <xf numFmtId="49" fontId="16" fillId="9" borderId="5" xfId="0" applyNumberFormat="1" applyFont="1" applyFill="1" applyBorder="1" applyAlignment="1">
      <alignment vertical="center" wrapText="1"/>
    </xf>
    <xf numFmtId="4" fontId="10" fillId="0" borderId="33" xfId="0" applyNumberFormat="1" applyFont="1" applyBorder="1" applyAlignment="1">
      <alignment horizontal="right" vertical="center" wrapText="1"/>
    </xf>
    <xf numFmtId="0" fontId="8" fillId="8" borderId="5" xfId="1" applyFont="1" applyFill="1" applyBorder="1" applyAlignment="1">
      <alignment horizontal="left" vertical="center" wrapText="1"/>
    </xf>
    <xf numFmtId="0" fontId="5" fillId="8" borderId="5" xfId="1" applyFont="1" applyFill="1" applyBorder="1" applyAlignment="1">
      <alignment horizontal="righ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" fontId="4" fillId="2" borderId="2" xfId="1" applyNumberFormat="1" applyFont="1" applyFill="1" applyBorder="1" applyAlignment="1">
      <alignment horizontal="center" vertical="center" wrapText="1"/>
    </xf>
    <xf numFmtId="49" fontId="9" fillId="8" borderId="2" xfId="0" applyNumberFormat="1" applyFont="1" applyFill="1" applyBorder="1" applyAlignment="1">
      <alignment horizontal="center" vertical="center" wrapText="1"/>
    </xf>
    <xf numFmtId="49" fontId="9" fillId="7" borderId="2" xfId="0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9" borderId="2" xfId="1" applyFont="1" applyFill="1" applyBorder="1" applyAlignment="1">
      <alignment horizontal="center" vertical="center" wrapText="1"/>
    </xf>
    <xf numFmtId="0" fontId="16" fillId="9" borderId="2" xfId="1" applyFont="1" applyFill="1" applyBorder="1" applyAlignment="1">
      <alignment horizontal="center" vertical="center" wrapText="1"/>
    </xf>
    <xf numFmtId="49" fontId="16" fillId="9" borderId="2" xfId="0" applyNumberFormat="1" applyFont="1" applyFill="1" applyBorder="1" applyAlignment="1">
      <alignment horizontal="center" vertical="center" wrapText="1"/>
    </xf>
    <xf numFmtId="0" fontId="7" fillId="9" borderId="2" xfId="1" applyFont="1" applyFill="1" applyBorder="1" applyAlignment="1">
      <alignment horizontal="center" vertical="center" wrapText="1"/>
    </xf>
    <xf numFmtId="0" fontId="8" fillId="13" borderId="2" xfId="1" applyFont="1" applyFill="1" applyBorder="1" applyAlignment="1">
      <alignment horizontal="center" vertical="center" wrapText="1"/>
    </xf>
    <xf numFmtId="0" fontId="8" fillId="7" borderId="2" xfId="1" applyFont="1" applyFill="1" applyBorder="1" applyAlignment="1">
      <alignment horizontal="center" vertical="center" wrapText="1"/>
    </xf>
    <xf numFmtId="49" fontId="9" fillId="8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" fontId="4" fillId="4" borderId="2" xfId="1" applyNumberFormat="1" applyFont="1" applyFill="1" applyBorder="1" applyAlignment="1">
      <alignment horizontal="center" vertical="center" wrapText="1"/>
    </xf>
    <xf numFmtId="0" fontId="9" fillId="8" borderId="2" xfId="1" applyFont="1" applyFill="1" applyBorder="1" applyAlignment="1">
      <alignment horizontal="center" vertical="center" wrapText="1"/>
    </xf>
    <xf numFmtId="0" fontId="8" fillId="8" borderId="2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9" borderId="5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6" fillId="9" borderId="19" xfId="0" applyFont="1" applyFill="1" applyBorder="1" applyAlignment="1">
      <alignment horizontal="center" vertical="center"/>
    </xf>
    <xf numFmtId="3" fontId="6" fillId="3" borderId="18" xfId="0" applyNumberFormat="1" applyFont="1" applyFill="1" applyBorder="1" applyAlignment="1">
      <alignment vertical="center"/>
    </xf>
    <xf numFmtId="3" fontId="6" fillId="3" borderId="45" xfId="0" applyNumberFormat="1" applyFont="1" applyFill="1" applyBorder="1" applyAlignment="1">
      <alignment vertical="center"/>
    </xf>
    <xf numFmtId="49" fontId="9" fillId="9" borderId="5" xfId="0" applyNumberFormat="1" applyFont="1" applyFill="1" applyBorder="1" applyAlignment="1">
      <alignment vertical="center" wrapText="1"/>
    </xf>
    <xf numFmtId="4" fontId="8" fillId="0" borderId="5" xfId="0" applyNumberFormat="1" applyFont="1" applyBorder="1"/>
    <xf numFmtId="4" fontId="4" fillId="2" borderId="55" xfId="1" applyNumberFormat="1" applyFont="1" applyFill="1" applyBorder="1" applyAlignment="1">
      <alignment horizontal="right" vertical="center" wrapText="1"/>
    </xf>
    <xf numFmtId="4" fontId="4" fillId="2" borderId="56" xfId="1" applyNumberFormat="1" applyFont="1" applyFill="1" applyBorder="1" applyAlignment="1">
      <alignment horizontal="right" vertical="center" wrapText="1"/>
    </xf>
    <xf numFmtId="4" fontId="4" fillId="2" borderId="57" xfId="1" applyNumberFormat="1" applyFont="1" applyFill="1" applyBorder="1" applyAlignment="1">
      <alignment horizontal="right" vertical="center" wrapText="1"/>
    </xf>
    <xf numFmtId="4" fontId="4" fillId="2" borderId="58" xfId="1" applyNumberFormat="1" applyFont="1" applyFill="1" applyBorder="1" applyAlignment="1">
      <alignment horizontal="right" vertical="center" wrapText="1"/>
    </xf>
    <xf numFmtId="4" fontId="4" fillId="4" borderId="55" xfId="1" applyNumberFormat="1" applyFont="1" applyFill="1" applyBorder="1" applyAlignment="1">
      <alignment horizontal="right" vertical="center" wrapText="1"/>
    </xf>
    <xf numFmtId="4" fontId="4" fillId="4" borderId="56" xfId="1" applyNumberFormat="1" applyFont="1" applyFill="1" applyBorder="1" applyAlignment="1">
      <alignment horizontal="right" vertical="center" wrapText="1"/>
    </xf>
    <xf numFmtId="4" fontId="4" fillId="4" borderId="57" xfId="1" applyNumberFormat="1" applyFont="1" applyFill="1" applyBorder="1" applyAlignment="1">
      <alignment horizontal="right" vertical="center" wrapText="1"/>
    </xf>
    <xf numFmtId="4" fontId="4" fillId="0" borderId="59" xfId="1" applyNumberFormat="1" applyFont="1" applyBorder="1" applyAlignment="1">
      <alignment horizontal="right" vertical="center" wrapText="1"/>
    </xf>
    <xf numFmtId="4" fontId="4" fillId="2" borderId="60" xfId="1" applyNumberFormat="1" applyFont="1" applyFill="1" applyBorder="1" applyAlignment="1">
      <alignment horizontal="right" vertical="center" wrapText="1"/>
    </xf>
    <xf numFmtId="4" fontId="4" fillId="2" borderId="61" xfId="1" applyNumberFormat="1" applyFont="1" applyFill="1" applyBorder="1" applyAlignment="1">
      <alignment horizontal="right" vertical="center" wrapText="1"/>
    </xf>
    <xf numFmtId="4" fontId="8" fillId="0" borderId="59" xfId="0" applyNumberFormat="1" applyFont="1" applyBorder="1"/>
    <xf numFmtId="0" fontId="21" fillId="0" borderId="0" xfId="0" applyFont="1" applyAlignment="1">
      <alignment horizontal="center" vertical="center"/>
    </xf>
    <xf numFmtId="4" fontId="9" fillId="0" borderId="0" xfId="0" applyNumberFormat="1" applyFont="1"/>
    <xf numFmtId="4" fontId="8" fillId="0" borderId="0" xfId="0" applyNumberFormat="1" applyFont="1" applyAlignment="1">
      <alignment horizontal="right"/>
    </xf>
    <xf numFmtId="0" fontId="27" fillId="0" borderId="0" xfId="0" applyFont="1"/>
    <xf numFmtId="0" fontId="8" fillId="0" borderId="2" xfId="0" applyFont="1" applyBorder="1" applyAlignment="1">
      <alignment horizontal="center" vertical="center"/>
    </xf>
    <xf numFmtId="0" fontId="26" fillId="0" borderId="2" xfId="0" applyFont="1" applyBorder="1"/>
    <xf numFmtId="0" fontId="8" fillId="0" borderId="2" xfId="0" applyFont="1" applyBorder="1" applyAlignment="1">
      <alignment horizontal="right" vertical="center"/>
    </xf>
    <xf numFmtId="0" fontId="9" fillId="0" borderId="2" xfId="1" applyFont="1" applyBorder="1" applyAlignment="1">
      <alignment vertical="center" wrapText="1"/>
    </xf>
    <xf numFmtId="49" fontId="9" fillId="0" borderId="2" xfId="0" applyNumberFormat="1" applyFont="1" applyBorder="1" applyAlignment="1">
      <alignment vertical="center" wrapText="1"/>
    </xf>
    <xf numFmtId="4" fontId="5" fillId="2" borderId="2" xfId="1" applyNumberFormat="1" applyFont="1" applyFill="1" applyBorder="1" applyAlignment="1">
      <alignment horizontal="lef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9" fontId="9" fillId="0" borderId="2" xfId="0" applyNumberFormat="1" applyFont="1" applyBorder="1" applyAlignment="1">
      <alignment wrapText="1"/>
    </xf>
    <xf numFmtId="0" fontId="9" fillId="0" borderId="2" xfId="1" applyFont="1" applyBorder="1" applyAlignment="1">
      <alignment vertical="top" wrapText="1"/>
    </xf>
    <xf numFmtId="0" fontId="9" fillId="0" borderId="2" xfId="1" applyFont="1" applyBorder="1" applyAlignment="1">
      <alignment horizontal="left" vertical="center" wrapText="1"/>
    </xf>
    <xf numFmtId="49" fontId="9" fillId="0" borderId="2" xfId="0" applyNumberFormat="1" applyFont="1" applyBorder="1"/>
    <xf numFmtId="49" fontId="15" fillId="0" borderId="2" xfId="0" applyNumberFormat="1" applyFont="1" applyBorder="1"/>
    <xf numFmtId="4" fontId="25" fillId="0" borderId="46" xfId="0" applyNumberFormat="1" applyFont="1" applyBorder="1"/>
    <xf numFmtId="4" fontId="25" fillId="0" borderId="47" xfId="0" applyNumberFormat="1" applyFont="1" applyBorder="1"/>
    <xf numFmtId="4" fontId="25" fillId="0" borderId="51" xfId="0" applyNumberFormat="1" applyFont="1" applyBorder="1"/>
    <xf numFmtId="4" fontId="5" fillId="16" borderId="2" xfId="1" applyNumberFormat="1" applyFont="1" applyFill="1" applyBorder="1" applyAlignment="1">
      <alignment horizontal="center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4" fontId="7" fillId="2" borderId="2" xfId="1" applyNumberFormat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horizontal="left" vertical="center" wrapText="1"/>
    </xf>
    <xf numFmtId="4" fontId="5" fillId="15" borderId="2" xfId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" fontId="4" fillId="2" borderId="2" xfId="1" applyNumberFormat="1" applyFont="1" applyFill="1" applyBorder="1" applyAlignment="1">
      <alignment horizontal="left" vertical="center" wrapText="1"/>
    </xf>
    <xf numFmtId="4" fontId="24" fillId="2" borderId="2" xfId="1" applyNumberFormat="1" applyFont="1" applyFill="1" applyBorder="1" applyAlignment="1">
      <alignment horizontal="center" vertical="center" wrapText="1"/>
    </xf>
    <xf numFmtId="4" fontId="19" fillId="2" borderId="2" xfId="1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vertical="center"/>
    </xf>
    <xf numFmtId="4" fontId="16" fillId="2" borderId="2" xfId="0" applyNumberFormat="1" applyFont="1" applyFill="1" applyBorder="1" applyAlignment="1">
      <alignment vertical="center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4" fontId="6" fillId="0" borderId="48" xfId="0" applyNumberFormat="1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4" fillId="9" borderId="8" xfId="1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27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4" xfId="1" applyFont="1" applyBorder="1" applyAlignment="1">
      <alignment horizontal="center" vertical="center" wrapText="1"/>
    </xf>
    <xf numFmtId="0" fontId="29" fillId="0" borderId="0" xfId="1" applyFont="1" applyAlignment="1">
      <alignment horizontal="left" vertical="center" wrapText="1"/>
    </xf>
    <xf numFmtId="0" fontId="29" fillId="0" borderId="1" xfId="1" applyFont="1" applyBorder="1" applyAlignment="1">
      <alignment horizontal="left" vertical="center" wrapText="1"/>
    </xf>
  </cellXfs>
  <cellStyles count="8">
    <cellStyle name="Normální" xfId="0" builtinId="0"/>
    <cellStyle name="Normální 11" xfId="7" xr:uid="{A631FC02-9953-4D1F-AA35-13C231FB6228}"/>
    <cellStyle name="Normální 2" xfId="1" xr:uid="{AA927AA7-64B0-4ED4-9BFB-22A8D299C68B}"/>
    <cellStyle name="Normální 2 2" xfId="2" xr:uid="{ABFBCAB2-91E0-4105-9C31-1D055D5FB36C}"/>
    <cellStyle name="Normální 2 2 2" xfId="6" xr:uid="{B7B3B899-BBF6-4FFD-B9DF-7397F09309E6}"/>
    <cellStyle name="Normální 2 3" xfId="5" xr:uid="{BAC024A3-D506-49A5-8A91-8342125A15C5}"/>
    <cellStyle name="Normální 3" xfId="4" xr:uid="{99E9581C-405C-4F95-AA33-BF8E8A6C75B0}"/>
    <cellStyle name="Normální 3 2" xfId="3" xr:uid="{BA5F8752-E0E1-4FDF-B515-475D0884B0D6}"/>
  </cellStyles>
  <dxfs count="0"/>
  <tableStyles count="0" defaultTableStyle="TableStyleMedium2" defaultPivotStyle="PivotStyleLight16"/>
  <colors>
    <mruColors>
      <color rgb="FFABE3FF"/>
      <color rgb="FFCDCDFF"/>
      <color rgb="FFFCB6AA"/>
      <color rgb="FFFFE0D9"/>
      <color rgb="FFFFFFAB"/>
      <color rgb="FFFD6E5F"/>
      <color rgb="FF9999FF"/>
      <color rgb="FFAE78D6"/>
      <color rgb="FFFFFFE7"/>
      <color rgb="FFDD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skraj.sharepoint.com/Users/stankova2598/AppData/Local/Microsoft/Windows/INetCache/Content.Outlook/P53HJRV8/ORJ14_P&#345;ehled%20projekt&#367;%202014-2020_n&#225;vrh%202020_nov&#2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>
        <row r="31">
          <cell r="N31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FFB49-5088-4CAE-A389-F69194083BF2}">
  <dimension ref="A1:U162"/>
  <sheetViews>
    <sheetView workbookViewId="0">
      <selection sqref="A1:A2"/>
    </sheetView>
  </sheetViews>
  <sheetFormatPr defaultColWidth="9.140625" defaultRowHeight="12.75" x14ac:dyDescent="0.2"/>
  <cols>
    <col min="1" max="1" width="52.42578125" style="4" customWidth="1"/>
    <col min="2" max="21" width="14.7109375" style="14" customWidth="1"/>
    <col min="22" max="16384" width="9.140625" style="4"/>
  </cols>
  <sheetData>
    <row r="1" spans="1:21" ht="21" customHeight="1" x14ac:dyDescent="0.2">
      <c r="A1" s="372" t="s">
        <v>0</v>
      </c>
      <c r="B1" s="71">
        <v>2018</v>
      </c>
      <c r="C1" s="71" t="s">
        <v>149</v>
      </c>
      <c r="D1" s="71" t="s">
        <v>147</v>
      </c>
      <c r="E1" s="71" t="s">
        <v>148</v>
      </c>
      <c r="F1" s="374" t="s">
        <v>113</v>
      </c>
      <c r="G1" s="368"/>
      <c r="H1" s="368"/>
      <c r="I1" s="368"/>
      <c r="J1" s="375"/>
      <c r="K1" s="367" t="s">
        <v>114</v>
      </c>
      <c r="L1" s="370"/>
      <c r="M1" s="371"/>
      <c r="N1" s="369"/>
      <c r="O1" s="367" t="s">
        <v>115</v>
      </c>
      <c r="P1" s="368"/>
      <c r="Q1" s="369"/>
      <c r="R1" s="367" t="s">
        <v>116</v>
      </c>
      <c r="S1" s="368"/>
      <c r="T1" s="368"/>
      <c r="U1" s="369"/>
    </row>
    <row r="2" spans="1:21" ht="25.5" x14ac:dyDescent="0.2">
      <c r="A2" s="373"/>
      <c r="B2" s="21"/>
      <c r="C2" s="21"/>
      <c r="D2" s="21"/>
      <c r="E2" s="21"/>
      <c r="F2" s="21" t="s">
        <v>143</v>
      </c>
      <c r="G2" s="75" t="s">
        <v>36</v>
      </c>
      <c r="H2" s="5" t="s">
        <v>152</v>
      </c>
      <c r="I2" s="57" t="s">
        <v>139</v>
      </c>
      <c r="J2" s="22" t="s">
        <v>140</v>
      </c>
      <c r="K2" s="21" t="s">
        <v>143</v>
      </c>
      <c r="L2" s="5" t="s">
        <v>152</v>
      </c>
      <c r="M2" s="57" t="s">
        <v>139</v>
      </c>
      <c r="N2" s="22" t="s">
        <v>140</v>
      </c>
      <c r="O2" s="5" t="s">
        <v>152</v>
      </c>
      <c r="P2" s="57" t="s">
        <v>139</v>
      </c>
      <c r="Q2" s="22" t="s">
        <v>140</v>
      </c>
      <c r="R2" s="5" t="s">
        <v>152</v>
      </c>
      <c r="S2" s="75" t="s">
        <v>36</v>
      </c>
      <c r="T2" s="57" t="s">
        <v>139</v>
      </c>
      <c r="U2" s="22" t="s">
        <v>140</v>
      </c>
    </row>
    <row r="3" spans="1:21" s="37" customFormat="1" x14ac:dyDescent="0.2">
      <c r="A3" s="38" t="s">
        <v>94</v>
      </c>
      <c r="B3" s="43"/>
      <c r="C3" s="43"/>
      <c r="D3" s="43"/>
      <c r="E3" s="43"/>
      <c r="F3" s="43"/>
      <c r="G3" s="44">
        <v>25000</v>
      </c>
      <c r="H3" s="45"/>
      <c r="I3" s="58">
        <v>61500</v>
      </c>
      <c r="J3" s="46"/>
      <c r="K3" s="43"/>
      <c r="L3" s="45"/>
      <c r="M3" s="45">
        <v>12000</v>
      </c>
      <c r="N3" s="46">
        <v>73500</v>
      </c>
      <c r="O3" s="43"/>
      <c r="P3" s="45"/>
      <c r="Q3" s="46"/>
      <c r="R3" s="43"/>
      <c r="S3" s="55"/>
      <c r="T3" s="55"/>
      <c r="U3" s="46"/>
    </row>
    <row r="4" spans="1:21" s="37" customFormat="1" x14ac:dyDescent="0.2">
      <c r="A4" s="38" t="s">
        <v>95</v>
      </c>
      <c r="B4" s="43"/>
      <c r="C4" s="43"/>
      <c r="D4" s="43"/>
      <c r="E4" s="43"/>
      <c r="F4" s="43"/>
      <c r="G4" s="44"/>
      <c r="H4" s="45"/>
      <c r="I4" s="58"/>
      <c r="J4" s="46"/>
      <c r="K4" s="43"/>
      <c r="L4" s="45"/>
      <c r="M4" s="45">
        <v>41615</v>
      </c>
      <c r="N4" s="46"/>
      <c r="O4" s="43"/>
      <c r="P4" s="45">
        <v>125000</v>
      </c>
      <c r="Q4" s="46">
        <v>41000</v>
      </c>
      <c r="R4" s="43"/>
      <c r="S4" s="55"/>
      <c r="T4" s="55"/>
      <c r="U4" s="46">
        <v>125615</v>
      </c>
    </row>
    <row r="5" spans="1:21" s="37" customFormat="1" ht="25.5" x14ac:dyDescent="0.2">
      <c r="A5" s="38" t="s">
        <v>96</v>
      </c>
      <c r="B5" s="43"/>
      <c r="C5" s="43"/>
      <c r="D5" s="43"/>
      <c r="E5" s="43"/>
      <c r="F5" s="43"/>
      <c r="G5" s="44">
        <v>6000</v>
      </c>
      <c r="H5" s="45"/>
      <c r="I5" s="58">
        <v>61250</v>
      </c>
      <c r="J5" s="46"/>
      <c r="K5" s="43"/>
      <c r="L5" s="45"/>
      <c r="M5" s="45"/>
      <c r="N5" s="46">
        <v>61250</v>
      </c>
      <c r="O5" s="43"/>
      <c r="P5" s="45"/>
      <c r="Q5" s="46"/>
      <c r="R5" s="43"/>
      <c r="S5" s="55"/>
      <c r="T5" s="55"/>
      <c r="U5" s="46"/>
    </row>
    <row r="6" spans="1:21" s="37" customFormat="1" x14ac:dyDescent="0.2">
      <c r="A6" s="38" t="s">
        <v>97</v>
      </c>
      <c r="B6" s="43"/>
      <c r="C6" s="43"/>
      <c r="D6" s="43"/>
      <c r="E6" s="43">
        <v>49812.41</v>
      </c>
      <c r="F6" s="43"/>
      <c r="G6" s="44"/>
      <c r="H6" s="45"/>
      <c r="I6" s="58"/>
      <c r="J6" s="46"/>
      <c r="K6" s="43"/>
      <c r="L6" s="45"/>
      <c r="M6" s="45"/>
      <c r="N6" s="46"/>
      <c r="O6" s="43"/>
      <c r="P6" s="45"/>
      <c r="Q6" s="46"/>
      <c r="R6" s="43"/>
      <c r="S6" s="55"/>
      <c r="T6" s="55"/>
      <c r="U6" s="46"/>
    </row>
    <row r="7" spans="1:21" s="37" customFormat="1" x14ac:dyDescent="0.2">
      <c r="A7" s="39" t="s">
        <v>37</v>
      </c>
      <c r="B7" s="43"/>
      <c r="C7" s="43"/>
      <c r="D7" s="43">
        <v>26008.13</v>
      </c>
      <c r="E7" s="43"/>
      <c r="F7" s="43"/>
      <c r="G7" s="44"/>
      <c r="H7" s="45"/>
      <c r="I7" s="58"/>
      <c r="J7" s="46">
        <v>26375.15</v>
      </c>
      <c r="K7" s="43"/>
      <c r="L7" s="45"/>
      <c r="M7" s="45"/>
      <c r="N7" s="46"/>
      <c r="O7" s="43"/>
      <c r="P7" s="45"/>
      <c r="Q7" s="46"/>
      <c r="R7" s="43"/>
      <c r="S7" s="55"/>
      <c r="T7" s="55"/>
      <c r="U7" s="46"/>
    </row>
    <row r="8" spans="1:21" s="37" customFormat="1" x14ac:dyDescent="0.2">
      <c r="A8" s="39" t="s">
        <v>39</v>
      </c>
      <c r="B8" s="43"/>
      <c r="C8" s="43"/>
      <c r="D8" s="43"/>
      <c r="E8" s="43">
        <v>28692.21</v>
      </c>
      <c r="F8" s="43"/>
      <c r="G8" s="44"/>
      <c r="H8" s="45"/>
      <c r="I8" s="58"/>
      <c r="J8" s="46"/>
      <c r="K8" s="43"/>
      <c r="L8" s="45"/>
      <c r="M8" s="45"/>
      <c r="N8" s="46"/>
      <c r="O8" s="43"/>
      <c r="P8" s="45"/>
      <c r="Q8" s="46"/>
      <c r="R8" s="43"/>
      <c r="S8" s="55"/>
      <c r="T8" s="55"/>
      <c r="U8" s="46"/>
    </row>
    <row r="9" spans="1:21" s="37" customFormat="1" x14ac:dyDescent="0.2">
      <c r="A9" s="39" t="s">
        <v>142</v>
      </c>
      <c r="B9" s="43"/>
      <c r="C9" s="43"/>
      <c r="D9" s="43">
        <v>35376.769999999997</v>
      </c>
      <c r="E9" s="43"/>
      <c r="F9" s="43"/>
      <c r="G9" s="44"/>
      <c r="H9" s="45"/>
      <c r="I9" s="58"/>
      <c r="J9" s="46">
        <v>128367.44</v>
      </c>
      <c r="K9" s="43"/>
      <c r="L9" s="45"/>
      <c r="M9" s="45"/>
      <c r="N9" s="46"/>
      <c r="O9" s="43"/>
      <c r="P9" s="45"/>
      <c r="Q9" s="46"/>
      <c r="R9" s="43"/>
      <c r="S9" s="55"/>
      <c r="T9" s="55"/>
      <c r="U9" s="46"/>
    </row>
    <row r="10" spans="1:21" s="37" customFormat="1" ht="25.5" x14ac:dyDescent="0.2">
      <c r="A10" s="39" t="s">
        <v>38</v>
      </c>
      <c r="B10" s="43"/>
      <c r="C10" s="43"/>
      <c r="D10" s="43">
        <v>33997.089999999997</v>
      </c>
      <c r="E10" s="43"/>
      <c r="F10" s="43"/>
      <c r="G10" s="44"/>
      <c r="H10" s="45"/>
      <c r="I10" s="58"/>
      <c r="J10" s="46">
        <v>68490.75</v>
      </c>
      <c r="K10" s="43"/>
      <c r="L10" s="45"/>
      <c r="M10" s="45"/>
      <c r="N10" s="46"/>
      <c r="O10" s="43"/>
      <c r="P10" s="45"/>
      <c r="Q10" s="46"/>
      <c r="R10" s="43"/>
      <c r="S10" s="55"/>
      <c r="T10" s="55"/>
      <c r="U10" s="46"/>
    </row>
    <row r="11" spans="1:21" s="37" customFormat="1" ht="25.5" x14ac:dyDescent="0.2">
      <c r="A11" s="39" t="s">
        <v>40</v>
      </c>
      <c r="B11" s="43"/>
      <c r="C11" s="43"/>
      <c r="D11" s="43">
        <v>20356.8</v>
      </c>
      <c r="E11" s="43">
        <v>82232.67</v>
      </c>
      <c r="F11" s="43"/>
      <c r="G11" s="44"/>
      <c r="H11" s="45"/>
      <c r="I11" s="58"/>
      <c r="J11" s="46"/>
      <c r="K11" s="43"/>
      <c r="L11" s="45"/>
      <c r="M11" s="45"/>
      <c r="N11" s="46"/>
      <c r="O11" s="43"/>
      <c r="P11" s="45"/>
      <c r="Q11" s="46"/>
      <c r="R11" s="43"/>
      <c r="S11" s="55"/>
      <c r="T11" s="55"/>
      <c r="U11" s="46"/>
    </row>
    <row r="12" spans="1:21" s="37" customFormat="1" ht="25.5" x14ac:dyDescent="0.2">
      <c r="A12" s="39" t="s">
        <v>41</v>
      </c>
      <c r="B12" s="43"/>
      <c r="C12" s="43"/>
      <c r="D12" s="43">
        <v>190.46</v>
      </c>
      <c r="E12" s="43"/>
      <c r="F12" s="43"/>
      <c r="G12" s="44">
        <v>19070</v>
      </c>
      <c r="H12" s="45"/>
      <c r="I12" s="58">
        <f>40720+2059.53</f>
        <v>42779.53</v>
      </c>
      <c r="J12" s="46">
        <v>42970</v>
      </c>
      <c r="K12" s="43"/>
      <c r="L12" s="45"/>
      <c r="M12" s="45"/>
      <c r="N12" s="46"/>
      <c r="O12" s="43"/>
      <c r="P12" s="45"/>
      <c r="Q12" s="46"/>
      <c r="R12" s="43"/>
      <c r="S12" s="55"/>
      <c r="T12" s="55"/>
      <c r="U12" s="46"/>
    </row>
    <row r="13" spans="1:21" s="37" customFormat="1" ht="25.5" x14ac:dyDescent="0.2">
      <c r="A13" s="39" t="s">
        <v>43</v>
      </c>
      <c r="B13" s="43"/>
      <c r="C13" s="43"/>
      <c r="D13" s="43"/>
      <c r="E13" s="43"/>
      <c r="F13" s="43"/>
      <c r="G13" s="44">
        <v>8680</v>
      </c>
      <c r="H13" s="45"/>
      <c r="I13" s="58">
        <v>73420</v>
      </c>
      <c r="J13" s="46"/>
      <c r="K13" s="43"/>
      <c r="L13" s="45"/>
      <c r="M13" s="45"/>
      <c r="N13" s="46">
        <v>73420</v>
      </c>
      <c r="O13" s="43"/>
      <c r="P13" s="45"/>
      <c r="Q13" s="46"/>
      <c r="R13" s="43"/>
      <c r="S13" s="55"/>
      <c r="T13" s="55"/>
      <c r="U13" s="46"/>
    </row>
    <row r="14" spans="1:21" s="37" customFormat="1" ht="25.5" x14ac:dyDescent="0.2">
      <c r="A14" s="39" t="s">
        <v>42</v>
      </c>
      <c r="B14" s="43"/>
      <c r="C14" s="43"/>
      <c r="D14" s="43"/>
      <c r="E14" s="43">
        <v>46106.89</v>
      </c>
      <c r="F14" s="43"/>
      <c r="G14" s="44"/>
      <c r="H14" s="45"/>
      <c r="I14" s="58"/>
      <c r="J14" s="46"/>
      <c r="K14" s="43"/>
      <c r="L14" s="45"/>
      <c r="M14" s="45"/>
      <c r="N14" s="46"/>
      <c r="O14" s="43"/>
      <c r="P14" s="45"/>
      <c r="Q14" s="46"/>
      <c r="R14" s="43"/>
      <c r="S14" s="55"/>
      <c r="T14" s="55"/>
      <c r="U14" s="46"/>
    </row>
    <row r="15" spans="1:21" s="37" customFormat="1" x14ac:dyDescent="0.2">
      <c r="A15" s="39" t="s">
        <v>44</v>
      </c>
      <c r="B15" s="43"/>
      <c r="C15" s="43"/>
      <c r="D15" s="43"/>
      <c r="E15" s="43"/>
      <c r="F15" s="43"/>
      <c r="G15" s="44"/>
      <c r="H15" s="45"/>
      <c r="I15" s="58">
        <v>39283</v>
      </c>
      <c r="J15" s="46">
        <v>39283</v>
      </c>
      <c r="K15" s="43"/>
      <c r="L15" s="45"/>
      <c r="M15" s="45"/>
      <c r="N15" s="46"/>
      <c r="O15" s="43"/>
      <c r="P15" s="45"/>
      <c r="Q15" s="46"/>
      <c r="R15" s="43"/>
      <c r="S15" s="55"/>
      <c r="T15" s="55"/>
      <c r="U15" s="46"/>
    </row>
    <row r="16" spans="1:21" s="37" customFormat="1" x14ac:dyDescent="0.2">
      <c r="A16" s="39" t="s">
        <v>45</v>
      </c>
      <c r="B16" s="43"/>
      <c r="C16" s="43"/>
      <c r="D16" s="43">
        <v>27498.560000000001</v>
      </c>
      <c r="E16" s="43"/>
      <c r="F16" s="43"/>
      <c r="G16" s="44">
        <v>25115</v>
      </c>
      <c r="H16" s="45"/>
      <c r="I16" s="58">
        <v>1265.94</v>
      </c>
      <c r="J16" s="46">
        <v>28764.5</v>
      </c>
      <c r="K16" s="43"/>
      <c r="L16" s="45"/>
      <c r="M16" s="45"/>
      <c r="N16" s="46"/>
      <c r="O16" s="43"/>
      <c r="P16" s="45"/>
      <c r="Q16" s="46"/>
      <c r="R16" s="43"/>
      <c r="S16" s="55"/>
      <c r="T16" s="55"/>
      <c r="U16" s="46"/>
    </row>
    <row r="17" spans="1:21" s="37" customFormat="1" ht="25.5" x14ac:dyDescent="0.2">
      <c r="A17" s="39" t="s">
        <v>46</v>
      </c>
      <c r="B17" s="43"/>
      <c r="C17" s="43"/>
      <c r="D17" s="43"/>
      <c r="E17" s="43"/>
      <c r="F17" s="43"/>
      <c r="G17" s="44"/>
      <c r="H17" s="45"/>
      <c r="I17" s="58"/>
      <c r="J17" s="46"/>
      <c r="K17" s="43"/>
      <c r="L17" s="45"/>
      <c r="M17" s="45"/>
      <c r="N17" s="46"/>
      <c r="O17" s="43"/>
      <c r="P17" s="45">
        <v>63270</v>
      </c>
      <c r="Q17" s="46">
        <v>63270</v>
      </c>
      <c r="R17" s="43"/>
      <c r="S17" s="55"/>
      <c r="T17" s="55"/>
      <c r="U17" s="46"/>
    </row>
    <row r="18" spans="1:21" s="37" customFormat="1" x14ac:dyDescent="0.2">
      <c r="A18" s="39" t="s">
        <v>47</v>
      </c>
      <c r="B18" s="43"/>
      <c r="C18" s="43"/>
      <c r="D18" s="43"/>
      <c r="E18" s="43"/>
      <c r="F18" s="43"/>
      <c r="G18" s="44">
        <v>12700</v>
      </c>
      <c r="H18" s="45"/>
      <c r="I18" s="58">
        <v>60100</v>
      </c>
      <c r="J18" s="46"/>
      <c r="K18" s="43"/>
      <c r="L18" s="45"/>
      <c r="M18" s="45">
        <v>35178</v>
      </c>
      <c r="N18" s="46"/>
      <c r="O18" s="43"/>
      <c r="P18" s="45"/>
      <c r="Q18" s="46">
        <v>95278</v>
      </c>
      <c r="R18" s="43"/>
      <c r="S18" s="55"/>
      <c r="T18" s="55"/>
      <c r="U18" s="46"/>
    </row>
    <row r="19" spans="1:21" s="37" customFormat="1" x14ac:dyDescent="0.2">
      <c r="A19" s="39" t="s">
        <v>48</v>
      </c>
      <c r="B19" s="43"/>
      <c r="C19" s="43"/>
      <c r="D19" s="43"/>
      <c r="E19" s="43"/>
      <c r="F19" s="43"/>
      <c r="G19" s="44"/>
      <c r="H19" s="45"/>
      <c r="I19" s="58"/>
      <c r="J19" s="46"/>
      <c r="K19" s="43"/>
      <c r="L19" s="45"/>
      <c r="M19" s="45">
        <v>34440</v>
      </c>
      <c r="N19" s="46">
        <v>34440</v>
      </c>
      <c r="O19" s="43"/>
      <c r="P19" s="45"/>
      <c r="Q19" s="46"/>
      <c r="R19" s="43"/>
      <c r="S19" s="55"/>
      <c r="T19" s="55"/>
      <c r="U19" s="46"/>
    </row>
    <row r="20" spans="1:21" s="37" customFormat="1" ht="25.5" x14ac:dyDescent="0.2">
      <c r="A20" s="39" t="s">
        <v>49</v>
      </c>
      <c r="B20" s="43"/>
      <c r="C20" s="43"/>
      <c r="D20" s="43"/>
      <c r="E20" s="43"/>
      <c r="F20" s="43"/>
      <c r="G20" s="44"/>
      <c r="H20" s="45"/>
      <c r="I20" s="58"/>
      <c r="J20" s="46"/>
      <c r="K20" s="43"/>
      <c r="L20" s="45"/>
      <c r="M20" s="45"/>
      <c r="N20" s="46"/>
      <c r="O20" s="43"/>
      <c r="P20" s="45">
        <v>45465</v>
      </c>
      <c r="Q20" s="46">
        <v>45465</v>
      </c>
      <c r="R20" s="43"/>
      <c r="S20" s="55"/>
      <c r="T20" s="55"/>
      <c r="U20" s="46"/>
    </row>
    <row r="21" spans="1:21" s="37" customFormat="1" ht="38.25" x14ac:dyDescent="0.2">
      <c r="A21" s="39" t="s">
        <v>50</v>
      </c>
      <c r="B21" s="43"/>
      <c r="C21" s="43"/>
      <c r="D21" s="43"/>
      <c r="E21" s="43"/>
      <c r="F21" s="43"/>
      <c r="G21" s="44"/>
      <c r="H21" s="45"/>
      <c r="I21" s="58"/>
      <c r="J21" s="46"/>
      <c r="K21" s="43"/>
      <c r="L21" s="45"/>
      <c r="M21" s="45"/>
      <c r="N21" s="46"/>
      <c r="O21" s="43"/>
      <c r="P21" s="45">
        <v>121800</v>
      </c>
      <c r="Q21" s="46">
        <v>121800</v>
      </c>
      <c r="R21" s="43"/>
      <c r="S21" s="55"/>
      <c r="T21" s="55"/>
      <c r="U21" s="46"/>
    </row>
    <row r="22" spans="1:21" s="37" customFormat="1" ht="25.5" x14ac:dyDescent="0.2">
      <c r="A22" s="39" t="s">
        <v>51</v>
      </c>
      <c r="B22" s="43"/>
      <c r="C22" s="43"/>
      <c r="D22" s="43"/>
      <c r="E22" s="43"/>
      <c r="F22" s="43"/>
      <c r="G22" s="44"/>
      <c r="H22" s="45"/>
      <c r="I22" s="58"/>
      <c r="J22" s="46"/>
      <c r="K22" s="43"/>
      <c r="L22" s="45"/>
      <c r="M22" s="45"/>
      <c r="N22" s="46"/>
      <c r="O22" s="43"/>
      <c r="P22" s="45">
        <v>45163</v>
      </c>
      <c r="Q22" s="46">
        <v>45163</v>
      </c>
      <c r="R22" s="43"/>
      <c r="S22" s="55"/>
      <c r="T22" s="55"/>
      <c r="U22" s="46"/>
    </row>
    <row r="23" spans="1:21" s="37" customFormat="1" ht="25.5" x14ac:dyDescent="0.2">
      <c r="A23" s="39" t="s">
        <v>52</v>
      </c>
      <c r="B23" s="43"/>
      <c r="C23" s="43"/>
      <c r="D23" s="43"/>
      <c r="E23" s="43"/>
      <c r="F23" s="43"/>
      <c r="G23" s="44"/>
      <c r="H23" s="45"/>
      <c r="I23" s="58">
        <v>0</v>
      </c>
      <c r="J23" s="46"/>
      <c r="K23" s="43"/>
      <c r="L23" s="45"/>
      <c r="M23" s="45"/>
      <c r="N23" s="46"/>
      <c r="O23" s="43"/>
      <c r="P23" s="45">
        <v>14720</v>
      </c>
      <c r="Q23" s="46">
        <v>14720</v>
      </c>
      <c r="R23" s="43"/>
      <c r="S23" s="55"/>
      <c r="T23" s="55"/>
      <c r="U23" s="46"/>
    </row>
    <row r="24" spans="1:21" s="37" customFormat="1" ht="25.5" x14ac:dyDescent="0.2">
      <c r="A24" s="39" t="s">
        <v>53</v>
      </c>
      <c r="B24" s="43"/>
      <c r="C24" s="43"/>
      <c r="D24" s="43"/>
      <c r="E24" s="43"/>
      <c r="F24" s="43"/>
      <c r="G24" s="44"/>
      <c r="H24" s="45"/>
      <c r="I24" s="58"/>
      <c r="J24" s="46"/>
      <c r="K24" s="43"/>
      <c r="L24" s="45"/>
      <c r="M24" s="45"/>
      <c r="N24" s="46"/>
      <c r="O24" s="43"/>
      <c r="P24" s="45">
        <v>13293</v>
      </c>
      <c r="Q24" s="46">
        <v>13293</v>
      </c>
      <c r="R24" s="43"/>
      <c r="S24" s="55"/>
      <c r="T24" s="55"/>
      <c r="U24" s="46"/>
    </row>
    <row r="25" spans="1:21" s="37" customFormat="1" ht="25.5" x14ac:dyDescent="0.2">
      <c r="A25" s="39" t="s">
        <v>54</v>
      </c>
      <c r="B25" s="43"/>
      <c r="C25" s="43"/>
      <c r="D25" s="43"/>
      <c r="E25" s="43"/>
      <c r="F25" s="43"/>
      <c r="G25" s="44"/>
      <c r="H25" s="45"/>
      <c r="I25" s="58"/>
      <c r="J25" s="46"/>
      <c r="K25" s="43"/>
      <c r="L25" s="45"/>
      <c r="M25" s="45">
        <v>87137</v>
      </c>
      <c r="N25" s="46"/>
      <c r="O25" s="43"/>
      <c r="P25" s="45">
        <v>18000</v>
      </c>
      <c r="Q25" s="46">
        <v>105137</v>
      </c>
      <c r="R25" s="43"/>
      <c r="S25" s="55"/>
      <c r="T25" s="55"/>
      <c r="U25" s="46"/>
    </row>
    <row r="26" spans="1:21" s="37" customFormat="1" ht="25.5" x14ac:dyDescent="0.2">
      <c r="A26" s="39" t="s">
        <v>55</v>
      </c>
      <c r="B26" s="43"/>
      <c r="C26" s="43"/>
      <c r="D26" s="43"/>
      <c r="E26" s="43"/>
      <c r="F26" s="43"/>
      <c r="G26" s="44">
        <v>10600</v>
      </c>
      <c r="H26" s="45"/>
      <c r="I26" s="58">
        <v>59400</v>
      </c>
      <c r="J26" s="46"/>
      <c r="K26" s="43"/>
      <c r="L26" s="45"/>
      <c r="M26" s="45">
        <v>52590</v>
      </c>
      <c r="N26" s="46"/>
      <c r="O26" s="43"/>
      <c r="P26" s="45"/>
      <c r="Q26" s="46">
        <v>111990</v>
      </c>
      <c r="R26" s="43"/>
      <c r="S26" s="55"/>
      <c r="T26" s="55"/>
      <c r="U26" s="46"/>
    </row>
    <row r="27" spans="1:21" s="37" customFormat="1" ht="25.5" x14ac:dyDescent="0.2">
      <c r="A27" s="39" t="s">
        <v>56</v>
      </c>
      <c r="B27" s="43"/>
      <c r="C27" s="43"/>
      <c r="D27" s="43"/>
      <c r="E27" s="43"/>
      <c r="F27" s="43"/>
      <c r="G27" s="44"/>
      <c r="H27" s="45"/>
      <c r="I27" s="58"/>
      <c r="J27" s="46"/>
      <c r="K27" s="43"/>
      <c r="L27" s="45"/>
      <c r="M27" s="45"/>
      <c r="N27" s="46"/>
      <c r="O27" s="43"/>
      <c r="P27" s="45">
        <v>25800</v>
      </c>
      <c r="Q27" s="46">
        <v>25800</v>
      </c>
      <c r="R27" s="43"/>
      <c r="S27" s="55"/>
      <c r="T27" s="55"/>
      <c r="U27" s="46"/>
    </row>
    <row r="28" spans="1:21" s="37" customFormat="1" x14ac:dyDescent="0.2">
      <c r="A28" s="39" t="s">
        <v>57</v>
      </c>
      <c r="B28" s="43"/>
      <c r="C28" s="43"/>
      <c r="D28" s="43"/>
      <c r="E28" s="43"/>
      <c r="F28" s="43"/>
      <c r="G28" s="44">
        <v>6700</v>
      </c>
      <c r="H28" s="45"/>
      <c r="I28" s="58">
        <v>23100</v>
      </c>
      <c r="J28" s="46"/>
      <c r="K28" s="43"/>
      <c r="L28" s="45"/>
      <c r="M28" s="45">
        <v>71981</v>
      </c>
      <c r="N28" s="46"/>
      <c r="O28" s="43"/>
      <c r="P28" s="45">
        <v>4500</v>
      </c>
      <c r="Q28" s="46">
        <v>99581</v>
      </c>
      <c r="R28" s="43"/>
      <c r="S28" s="55"/>
      <c r="T28" s="55"/>
      <c r="U28" s="46"/>
    </row>
    <row r="29" spans="1:21" s="37" customFormat="1" x14ac:dyDescent="0.2">
      <c r="A29" s="39" t="s">
        <v>58</v>
      </c>
      <c r="B29" s="43"/>
      <c r="C29" s="43"/>
      <c r="D29" s="43"/>
      <c r="E29" s="43"/>
      <c r="F29" s="43"/>
      <c r="G29" s="44">
        <v>11098</v>
      </c>
      <c r="H29" s="45"/>
      <c r="I29" s="58">
        <v>3930</v>
      </c>
      <c r="J29" s="46">
        <v>3930</v>
      </c>
      <c r="K29" s="43"/>
      <c r="L29" s="45"/>
      <c r="M29" s="45"/>
      <c r="N29" s="46"/>
      <c r="O29" s="43"/>
      <c r="P29" s="45"/>
      <c r="Q29" s="46"/>
      <c r="R29" s="43"/>
      <c r="S29" s="55"/>
      <c r="T29" s="55"/>
      <c r="U29" s="46"/>
    </row>
    <row r="30" spans="1:21" s="37" customFormat="1" x14ac:dyDescent="0.2">
      <c r="A30" s="39" t="s">
        <v>59</v>
      </c>
      <c r="B30" s="43"/>
      <c r="C30" s="43"/>
      <c r="D30" s="43"/>
      <c r="E30" s="43"/>
      <c r="F30" s="43"/>
      <c r="G30" s="44">
        <v>8874</v>
      </c>
      <c r="H30" s="45"/>
      <c r="I30" s="58">
        <v>3273</v>
      </c>
      <c r="J30" s="46">
        <v>3273</v>
      </c>
      <c r="K30" s="43"/>
      <c r="L30" s="45"/>
      <c r="M30" s="45"/>
      <c r="N30" s="46"/>
      <c r="O30" s="43"/>
      <c r="P30" s="45"/>
      <c r="Q30" s="46"/>
      <c r="R30" s="43"/>
      <c r="S30" s="55"/>
      <c r="T30" s="55"/>
      <c r="U30" s="46"/>
    </row>
    <row r="31" spans="1:21" s="37" customFormat="1" x14ac:dyDescent="0.2">
      <c r="A31" s="39" t="s">
        <v>60</v>
      </c>
      <c r="B31" s="43"/>
      <c r="C31" s="43"/>
      <c r="D31" s="43"/>
      <c r="E31" s="43"/>
      <c r="F31" s="43"/>
      <c r="G31" s="44">
        <v>11400</v>
      </c>
      <c r="H31" s="45"/>
      <c r="I31" s="58">
        <v>1667</v>
      </c>
      <c r="J31" s="46">
        <v>1667</v>
      </c>
      <c r="K31" s="43"/>
      <c r="L31" s="45"/>
      <c r="M31" s="45"/>
      <c r="N31" s="46"/>
      <c r="O31" s="43"/>
      <c r="P31" s="45"/>
      <c r="Q31" s="46"/>
      <c r="R31" s="43"/>
      <c r="S31" s="55"/>
      <c r="T31" s="55"/>
      <c r="U31" s="46"/>
    </row>
    <row r="32" spans="1:21" ht="25.5" x14ac:dyDescent="0.2">
      <c r="A32" s="16" t="s">
        <v>26</v>
      </c>
      <c r="B32" s="23"/>
      <c r="C32" s="23"/>
      <c r="D32" s="23"/>
      <c r="E32" s="23"/>
      <c r="F32" s="23"/>
      <c r="G32" s="6"/>
      <c r="H32" s="6">
        <v>1800</v>
      </c>
      <c r="I32" s="59"/>
      <c r="J32" s="24"/>
      <c r="K32" s="31"/>
      <c r="L32" s="7">
        <v>130000</v>
      </c>
      <c r="M32" s="7"/>
      <c r="N32" s="32"/>
      <c r="O32" s="23"/>
      <c r="P32" s="7"/>
      <c r="Q32" s="24"/>
      <c r="R32" s="23"/>
      <c r="S32" s="56"/>
      <c r="T32" s="56"/>
      <c r="U32" s="24"/>
    </row>
    <row r="33" spans="1:21" ht="38.25" x14ac:dyDescent="0.2">
      <c r="A33" s="16" t="s">
        <v>25</v>
      </c>
      <c r="B33" s="23"/>
      <c r="C33" s="23"/>
      <c r="D33" s="23"/>
      <c r="E33" s="23"/>
      <c r="F33" s="23"/>
      <c r="G33" s="6"/>
      <c r="H33" s="6">
        <v>50000</v>
      </c>
      <c r="I33" s="59"/>
      <c r="J33" s="24"/>
      <c r="K33" s="31"/>
      <c r="L33" s="7">
        <v>76000</v>
      </c>
      <c r="M33" s="7"/>
      <c r="N33" s="32"/>
      <c r="O33" s="23"/>
      <c r="P33" s="7"/>
      <c r="Q33" s="24"/>
      <c r="R33" s="23"/>
      <c r="S33" s="56"/>
      <c r="T33" s="56"/>
      <c r="U33" s="24"/>
    </row>
    <row r="34" spans="1:21" s="8" customFormat="1" x14ac:dyDescent="0.2">
      <c r="A34" s="17" t="s">
        <v>31</v>
      </c>
      <c r="B34" s="25">
        <f t="shared" ref="B34:R34" si="0">SUM(B3:B33)</f>
        <v>0</v>
      </c>
      <c r="C34" s="25">
        <f t="shared" si="0"/>
        <v>0</v>
      </c>
      <c r="D34" s="25">
        <f t="shared" si="0"/>
        <v>143427.81</v>
      </c>
      <c r="E34" s="25">
        <f t="shared" si="0"/>
        <v>206844.18</v>
      </c>
      <c r="F34" s="25">
        <f t="shared" si="0"/>
        <v>0</v>
      </c>
      <c r="G34" s="1">
        <f t="shared" si="0"/>
        <v>145237</v>
      </c>
      <c r="H34" s="1">
        <f t="shared" si="0"/>
        <v>51800</v>
      </c>
      <c r="I34" s="60">
        <f t="shared" si="0"/>
        <v>430968.47000000003</v>
      </c>
      <c r="J34" s="63">
        <f t="shared" si="0"/>
        <v>343120.83999999997</v>
      </c>
      <c r="K34" s="25">
        <f t="shared" si="0"/>
        <v>0</v>
      </c>
      <c r="L34" s="1">
        <f t="shared" si="0"/>
        <v>206000</v>
      </c>
      <c r="M34" s="1">
        <f t="shared" si="0"/>
        <v>334941</v>
      </c>
      <c r="N34" s="26">
        <f t="shared" si="0"/>
        <v>242610</v>
      </c>
      <c r="O34" s="25">
        <f t="shared" si="0"/>
        <v>0</v>
      </c>
      <c r="P34" s="25">
        <f t="shared" si="0"/>
        <v>477011</v>
      </c>
      <c r="Q34" s="26">
        <f t="shared" si="0"/>
        <v>782497</v>
      </c>
      <c r="R34" s="25">
        <f t="shared" si="0"/>
        <v>0</v>
      </c>
      <c r="S34" s="25"/>
      <c r="T34" s="25">
        <f>SUM(T3:T33)</f>
        <v>0</v>
      </c>
      <c r="U34" s="26">
        <f>SUM(U3:U33)</f>
        <v>125615</v>
      </c>
    </row>
    <row r="35" spans="1:21" s="37" customFormat="1" ht="25.5" x14ac:dyDescent="0.2">
      <c r="A35" s="38" t="s">
        <v>101</v>
      </c>
      <c r="B35" s="43"/>
      <c r="C35" s="43"/>
      <c r="D35" s="43">
        <v>9288.98</v>
      </c>
      <c r="E35" s="43">
        <v>0</v>
      </c>
      <c r="F35" s="43"/>
      <c r="G35" s="44">
        <v>2200</v>
      </c>
      <c r="H35" s="45"/>
      <c r="I35" s="58">
        <v>247.28</v>
      </c>
      <c r="J35" s="46">
        <f>8965+525.67</f>
        <v>9490.67</v>
      </c>
      <c r="K35" s="43"/>
      <c r="L35" s="45"/>
      <c r="M35" s="45"/>
      <c r="N35" s="46"/>
      <c r="O35" s="43"/>
      <c r="P35" s="55"/>
      <c r="Q35" s="46"/>
      <c r="R35" s="43"/>
      <c r="S35" s="55"/>
      <c r="T35" s="55"/>
      <c r="U35" s="46"/>
    </row>
    <row r="36" spans="1:21" s="37" customFormat="1" x14ac:dyDescent="0.2">
      <c r="A36" s="39" t="s">
        <v>61</v>
      </c>
      <c r="B36" s="43"/>
      <c r="C36" s="43"/>
      <c r="D36" s="43">
        <v>3466.25</v>
      </c>
      <c r="E36" s="43"/>
      <c r="F36" s="43"/>
      <c r="G36" s="44">
        <v>3695</v>
      </c>
      <c r="H36" s="45"/>
      <c r="I36" s="58">
        <f>6095+56.28</f>
        <v>6151.28</v>
      </c>
      <c r="J36" s="46">
        <v>19892.689999999999</v>
      </c>
      <c r="K36" s="43"/>
      <c r="L36" s="45"/>
      <c r="M36" s="45"/>
      <c r="N36" s="46"/>
      <c r="O36" s="43"/>
      <c r="P36" s="55"/>
      <c r="Q36" s="46"/>
      <c r="R36" s="43"/>
      <c r="S36" s="55"/>
      <c r="T36" s="55"/>
      <c r="U36" s="46"/>
    </row>
    <row r="37" spans="1:21" s="37" customFormat="1" x14ac:dyDescent="0.2">
      <c r="A37" s="39" t="s">
        <v>62</v>
      </c>
      <c r="B37" s="43"/>
      <c r="C37" s="43"/>
      <c r="D37" s="43">
        <v>8810.76</v>
      </c>
      <c r="E37" s="43">
        <v>289.41000000000003</v>
      </c>
      <c r="F37" s="43"/>
      <c r="G37" s="44"/>
      <c r="H37" s="45"/>
      <c r="I37" s="58"/>
      <c r="J37" s="46">
        <v>23274.15</v>
      </c>
      <c r="K37" s="43"/>
      <c r="L37" s="45"/>
      <c r="M37" s="45"/>
      <c r="N37" s="46"/>
      <c r="O37" s="43"/>
      <c r="P37" s="55"/>
      <c r="Q37" s="46"/>
      <c r="R37" s="43"/>
      <c r="S37" s="55"/>
      <c r="T37" s="55"/>
      <c r="U37" s="46"/>
    </row>
    <row r="38" spans="1:21" s="37" customFormat="1" x14ac:dyDescent="0.2">
      <c r="A38" s="39" t="s">
        <v>63</v>
      </c>
      <c r="B38" s="43"/>
      <c r="C38" s="43"/>
      <c r="D38" s="43"/>
      <c r="E38" s="43">
        <v>21763.89</v>
      </c>
      <c r="F38" s="43"/>
      <c r="G38" s="44"/>
      <c r="H38" s="45"/>
      <c r="I38" s="58"/>
      <c r="J38" s="46"/>
      <c r="K38" s="43"/>
      <c r="L38" s="45"/>
      <c r="M38" s="45"/>
      <c r="N38" s="46"/>
      <c r="O38" s="43"/>
      <c r="P38" s="55"/>
      <c r="Q38" s="46"/>
      <c r="R38" s="43"/>
      <c r="S38" s="55"/>
      <c r="T38" s="55"/>
      <c r="U38" s="46"/>
    </row>
    <row r="39" spans="1:21" s="37" customFormat="1" ht="25.5" x14ac:dyDescent="0.2">
      <c r="A39" s="39" t="s">
        <v>64</v>
      </c>
      <c r="B39" s="43"/>
      <c r="C39" s="43"/>
      <c r="D39" s="43">
        <v>22429.23</v>
      </c>
      <c r="E39" s="43">
        <v>76086.210000000006</v>
      </c>
      <c r="F39" s="43"/>
      <c r="G39" s="44"/>
      <c r="H39" s="45"/>
      <c r="I39" s="58"/>
      <c r="J39" s="46"/>
      <c r="K39" s="43"/>
      <c r="L39" s="45"/>
      <c r="M39" s="45"/>
      <c r="N39" s="46"/>
      <c r="O39" s="43"/>
      <c r="P39" s="55"/>
      <c r="Q39" s="46"/>
      <c r="R39" s="43"/>
      <c r="S39" s="55"/>
      <c r="T39" s="55"/>
      <c r="U39" s="46"/>
    </row>
    <row r="40" spans="1:21" s="37" customFormat="1" x14ac:dyDescent="0.2">
      <c r="A40" s="39" t="s">
        <v>65</v>
      </c>
      <c r="B40" s="43"/>
      <c r="C40" s="43"/>
      <c r="D40" s="43">
        <v>64478.93</v>
      </c>
      <c r="E40" s="43"/>
      <c r="F40" s="43"/>
      <c r="G40" s="44">
        <v>19317</v>
      </c>
      <c r="H40" s="45"/>
      <c r="I40" s="58">
        <f>15683+2177.01</f>
        <v>17860.010000000002</v>
      </c>
      <c r="J40" s="46">
        <v>100144.03</v>
      </c>
      <c r="K40" s="43"/>
      <c r="L40" s="45"/>
      <c r="M40" s="45"/>
      <c r="N40" s="46"/>
      <c r="O40" s="43"/>
      <c r="P40" s="55"/>
      <c r="Q40" s="46"/>
      <c r="R40" s="43"/>
      <c r="S40" s="55"/>
      <c r="T40" s="55"/>
      <c r="U40" s="46"/>
    </row>
    <row r="41" spans="1:21" s="37" customFormat="1" x14ac:dyDescent="0.2">
      <c r="A41" s="39" t="s">
        <v>66</v>
      </c>
      <c r="B41" s="43"/>
      <c r="C41" s="43"/>
      <c r="D41" s="43"/>
      <c r="E41" s="43"/>
      <c r="F41" s="43"/>
      <c r="G41" s="44"/>
      <c r="H41" s="45"/>
      <c r="I41" s="58"/>
      <c r="J41" s="46"/>
      <c r="K41" s="43"/>
      <c r="L41" s="45"/>
      <c r="M41" s="45"/>
      <c r="N41" s="46"/>
      <c r="O41" s="43"/>
      <c r="P41" s="55"/>
      <c r="Q41" s="46"/>
      <c r="R41" s="43"/>
      <c r="S41" s="55"/>
      <c r="T41" s="55"/>
      <c r="U41" s="46"/>
    </row>
    <row r="42" spans="1:21" s="37" customFormat="1" x14ac:dyDescent="0.2">
      <c r="A42" s="39" t="s">
        <v>67</v>
      </c>
      <c r="B42" s="43"/>
      <c r="C42" s="43"/>
      <c r="D42" s="43"/>
      <c r="E42" s="43"/>
      <c r="F42" s="43"/>
      <c r="G42" s="44"/>
      <c r="H42" s="45"/>
      <c r="I42" s="58"/>
      <c r="J42" s="46"/>
      <c r="K42" s="43"/>
      <c r="L42" s="45"/>
      <c r="M42" s="45">
        <v>16540</v>
      </c>
      <c r="N42" s="46">
        <v>16540</v>
      </c>
      <c r="O42" s="43"/>
      <c r="P42" s="55"/>
      <c r="Q42" s="46"/>
      <c r="R42" s="43"/>
      <c r="S42" s="55"/>
      <c r="T42" s="55"/>
      <c r="U42" s="46"/>
    </row>
    <row r="43" spans="1:21" s="37" customFormat="1" ht="25.5" x14ac:dyDescent="0.2">
      <c r="A43" s="39" t="s">
        <v>68</v>
      </c>
      <c r="B43" s="43"/>
      <c r="C43" s="43"/>
      <c r="D43" s="43">
        <v>1576.58</v>
      </c>
      <c r="E43" s="43"/>
      <c r="F43" s="43"/>
      <c r="G43" s="44">
        <v>2600</v>
      </c>
      <c r="H43" s="45"/>
      <c r="I43" s="58">
        <f>23400+1894.3</f>
        <v>25294.3</v>
      </c>
      <c r="J43" s="46"/>
      <c r="K43" s="43"/>
      <c r="L43" s="45"/>
      <c r="M43" s="45">
        <v>9848.58</v>
      </c>
      <c r="N43" s="46">
        <v>36719.47</v>
      </c>
      <c r="O43" s="43"/>
      <c r="P43" s="55"/>
      <c r="Q43" s="46"/>
      <c r="R43" s="43"/>
      <c r="S43" s="55"/>
      <c r="T43" s="55"/>
      <c r="U43" s="46"/>
    </row>
    <row r="44" spans="1:21" x14ac:dyDescent="0.2">
      <c r="A44" s="16" t="s">
        <v>5</v>
      </c>
      <c r="B44" s="27"/>
      <c r="C44" s="27"/>
      <c r="D44" s="27"/>
      <c r="E44" s="27"/>
      <c r="F44" s="27">
        <v>37193.040000000001</v>
      </c>
      <c r="G44" s="11"/>
      <c r="H44" s="11">
        <v>17174</v>
      </c>
      <c r="I44" s="61"/>
      <c r="J44" s="28"/>
      <c r="K44" s="47"/>
      <c r="L44" s="12">
        <v>50000</v>
      </c>
      <c r="M44" s="12"/>
      <c r="N44" s="33"/>
      <c r="O44" s="36">
        <v>50000</v>
      </c>
      <c r="P44" s="65"/>
      <c r="Q44" s="33"/>
      <c r="R44" s="43">
        <v>382334</v>
      </c>
      <c r="S44" s="55"/>
      <c r="T44" s="55"/>
      <c r="U44" s="46"/>
    </row>
    <row r="45" spans="1:21" x14ac:dyDescent="0.2">
      <c r="A45" s="16" t="s">
        <v>2</v>
      </c>
      <c r="B45" s="23"/>
      <c r="C45" s="23"/>
      <c r="D45" s="23"/>
      <c r="E45" s="23"/>
      <c r="F45" s="23">
        <v>71.91</v>
      </c>
      <c r="G45" s="6"/>
      <c r="H45" s="6">
        <v>2760</v>
      </c>
      <c r="I45" s="59"/>
      <c r="J45" s="24"/>
      <c r="K45" s="47"/>
      <c r="L45" s="9">
        <v>9940</v>
      </c>
      <c r="M45" s="9"/>
      <c r="N45" s="34"/>
      <c r="O45" s="23">
        <v>60448</v>
      </c>
      <c r="P45" s="56"/>
      <c r="Q45" s="24"/>
      <c r="R45" s="23">
        <v>220000</v>
      </c>
      <c r="S45" s="56"/>
      <c r="T45" s="56"/>
      <c r="U45" s="24"/>
    </row>
    <row r="46" spans="1:21" x14ac:dyDescent="0.2">
      <c r="A46" s="16" t="s">
        <v>3</v>
      </c>
      <c r="B46" s="23"/>
      <c r="C46" s="23"/>
      <c r="D46" s="23"/>
      <c r="E46" s="23"/>
      <c r="F46" s="23"/>
      <c r="G46" s="6"/>
      <c r="H46" s="6">
        <v>35215</v>
      </c>
      <c r="I46" s="59"/>
      <c r="J46" s="24"/>
      <c r="K46" s="47"/>
      <c r="L46" s="7"/>
      <c r="M46" s="7"/>
      <c r="N46" s="32"/>
      <c r="O46" s="23"/>
      <c r="P46" s="56"/>
      <c r="Q46" s="24"/>
      <c r="R46" s="23"/>
      <c r="S46" s="56"/>
      <c r="T46" s="56"/>
      <c r="U46" s="24"/>
    </row>
    <row r="47" spans="1:21" x14ac:dyDescent="0.2">
      <c r="A47" s="16" t="s">
        <v>1</v>
      </c>
      <c r="B47" s="23"/>
      <c r="C47" s="23"/>
      <c r="D47" s="23"/>
      <c r="E47" s="23"/>
      <c r="F47" s="23"/>
      <c r="G47" s="6"/>
      <c r="H47" s="6"/>
      <c r="I47" s="59"/>
      <c r="J47" s="24"/>
      <c r="K47" s="35"/>
      <c r="L47" s="7"/>
      <c r="M47" s="7"/>
      <c r="N47" s="32"/>
      <c r="O47" s="23">
        <v>30000</v>
      </c>
      <c r="P47" s="56"/>
      <c r="Q47" s="24"/>
      <c r="R47" s="23">
        <v>65000</v>
      </c>
      <c r="S47" s="56"/>
      <c r="T47" s="56"/>
      <c r="U47" s="24"/>
    </row>
    <row r="48" spans="1:21" x14ac:dyDescent="0.2">
      <c r="A48" s="16" t="s">
        <v>4</v>
      </c>
      <c r="B48" s="23"/>
      <c r="C48" s="23"/>
      <c r="D48" s="23"/>
      <c r="E48" s="23"/>
      <c r="F48" s="23"/>
      <c r="G48" s="6"/>
      <c r="H48" s="6">
        <v>45000</v>
      </c>
      <c r="I48" s="59"/>
      <c r="J48" s="24"/>
      <c r="K48" s="47"/>
      <c r="L48" s="7">
        <v>50000</v>
      </c>
      <c r="M48" s="7"/>
      <c r="N48" s="32"/>
      <c r="O48" s="23"/>
      <c r="P48" s="56"/>
      <c r="Q48" s="24"/>
      <c r="R48" s="23"/>
      <c r="S48" s="56"/>
      <c r="T48" s="56"/>
      <c r="U48" s="24"/>
    </row>
    <row r="49" spans="1:21" s="8" customFormat="1" x14ac:dyDescent="0.2">
      <c r="A49" s="17" t="s">
        <v>27</v>
      </c>
      <c r="B49" s="25">
        <f t="shared" ref="B49:R49" si="1">SUM(B35:B48)</f>
        <v>0</v>
      </c>
      <c r="C49" s="25">
        <f t="shared" si="1"/>
        <v>0</v>
      </c>
      <c r="D49" s="25">
        <f t="shared" si="1"/>
        <v>110050.73</v>
      </c>
      <c r="E49" s="25">
        <f t="shared" si="1"/>
        <v>98139.510000000009</v>
      </c>
      <c r="F49" s="25">
        <f t="shared" si="1"/>
        <v>37264.950000000004</v>
      </c>
      <c r="G49" s="1">
        <f t="shared" si="1"/>
        <v>27812</v>
      </c>
      <c r="H49" s="1">
        <f t="shared" si="1"/>
        <v>100149</v>
      </c>
      <c r="I49" s="60">
        <f t="shared" si="1"/>
        <v>49552.869999999995</v>
      </c>
      <c r="J49" s="63">
        <f t="shared" si="1"/>
        <v>152801.54</v>
      </c>
      <c r="K49" s="25">
        <f t="shared" si="1"/>
        <v>0</v>
      </c>
      <c r="L49" s="1">
        <f t="shared" si="1"/>
        <v>109940</v>
      </c>
      <c r="M49" s="1">
        <f t="shared" si="1"/>
        <v>26388.58</v>
      </c>
      <c r="N49" s="26">
        <f t="shared" si="1"/>
        <v>53259.47</v>
      </c>
      <c r="O49" s="25">
        <f t="shared" si="1"/>
        <v>140448</v>
      </c>
      <c r="P49" s="15">
        <f t="shared" si="1"/>
        <v>0</v>
      </c>
      <c r="Q49" s="26">
        <f t="shared" si="1"/>
        <v>0</v>
      </c>
      <c r="R49" s="25">
        <f t="shared" si="1"/>
        <v>667334</v>
      </c>
      <c r="S49" s="15"/>
      <c r="T49" s="15">
        <f>SUM(T35:T48)</f>
        <v>0</v>
      </c>
      <c r="U49" s="26">
        <f>SUM(U35:U48)</f>
        <v>0</v>
      </c>
    </row>
    <row r="50" spans="1:21" s="37" customFormat="1" ht="25.5" x14ac:dyDescent="0.2">
      <c r="A50" s="40" t="s">
        <v>69</v>
      </c>
      <c r="B50" s="43"/>
      <c r="C50" s="43"/>
      <c r="D50" s="43">
        <v>12148.69</v>
      </c>
      <c r="E50" s="43"/>
      <c r="F50" s="43"/>
      <c r="G50" s="44">
        <v>18151</v>
      </c>
      <c r="H50" s="45"/>
      <c r="I50" s="58">
        <f>10049+2355.75</f>
        <v>12404.75</v>
      </c>
      <c r="J50" s="46"/>
      <c r="K50" s="43"/>
      <c r="L50" s="45"/>
      <c r="M50" s="45"/>
      <c r="N50" s="46">
        <v>24553.439999999999</v>
      </c>
      <c r="O50" s="43"/>
      <c r="P50" s="55"/>
      <c r="Q50" s="46"/>
      <c r="R50" s="43"/>
      <c r="S50" s="55"/>
      <c r="T50" s="55"/>
      <c r="U50" s="46"/>
    </row>
    <row r="51" spans="1:21" s="37" customFormat="1" x14ac:dyDescent="0.2">
      <c r="A51" s="40" t="s">
        <v>70</v>
      </c>
      <c r="B51" s="43"/>
      <c r="C51" s="43"/>
      <c r="D51" s="43">
        <v>5289.39</v>
      </c>
      <c r="E51" s="43"/>
      <c r="F51" s="43"/>
      <c r="G51" s="44">
        <v>7606</v>
      </c>
      <c r="H51" s="45"/>
      <c r="I51" s="58">
        <f>6604+1011.92</f>
        <v>7615.92</v>
      </c>
      <c r="J51" s="46"/>
      <c r="K51" s="43"/>
      <c r="L51" s="45"/>
      <c r="M51" s="45"/>
      <c r="N51" s="46">
        <v>12905.31</v>
      </c>
      <c r="O51" s="43"/>
      <c r="P51" s="55"/>
      <c r="Q51" s="46"/>
      <c r="R51" s="43"/>
      <c r="S51" s="55"/>
      <c r="T51" s="55"/>
      <c r="U51" s="46"/>
    </row>
    <row r="52" spans="1:21" s="37" customFormat="1" ht="25.5" x14ac:dyDescent="0.2">
      <c r="A52" s="40" t="s">
        <v>71</v>
      </c>
      <c r="B52" s="43"/>
      <c r="C52" s="43"/>
      <c r="D52" s="43">
        <v>9693.66</v>
      </c>
      <c r="E52" s="43"/>
      <c r="F52" s="43"/>
      <c r="G52" s="44">
        <v>12528</v>
      </c>
      <c r="H52" s="45"/>
      <c r="I52" s="58">
        <f>9172+2111.11</f>
        <v>11283.11</v>
      </c>
      <c r="J52" s="46"/>
      <c r="K52" s="43"/>
      <c r="L52" s="45"/>
      <c r="M52" s="45"/>
      <c r="N52" s="46">
        <v>20976.77</v>
      </c>
      <c r="O52" s="43"/>
      <c r="P52" s="55"/>
      <c r="Q52" s="46"/>
      <c r="R52" s="43"/>
      <c r="S52" s="55"/>
      <c r="T52" s="55"/>
      <c r="U52" s="46"/>
    </row>
    <row r="53" spans="1:21" s="37" customFormat="1" ht="25.5" x14ac:dyDescent="0.2">
      <c r="A53" s="40" t="s">
        <v>72</v>
      </c>
      <c r="B53" s="43"/>
      <c r="C53" s="43"/>
      <c r="D53" s="43"/>
      <c r="E53" s="43"/>
      <c r="F53" s="43"/>
      <c r="G53" s="44">
        <v>2657</v>
      </c>
      <c r="H53" s="45"/>
      <c r="I53" s="58">
        <v>17386</v>
      </c>
      <c r="J53" s="46"/>
      <c r="K53" s="43"/>
      <c r="L53" s="45"/>
      <c r="M53" s="45">
        <v>14103</v>
      </c>
      <c r="N53" s="46"/>
      <c r="O53" s="43"/>
      <c r="P53" s="55"/>
      <c r="Q53" s="46">
        <v>31489</v>
      </c>
      <c r="R53" s="43"/>
      <c r="S53" s="55"/>
      <c r="T53" s="55"/>
      <c r="U53" s="46"/>
    </row>
    <row r="54" spans="1:21" s="37" customFormat="1" x14ac:dyDescent="0.2">
      <c r="A54" s="40" t="s">
        <v>73</v>
      </c>
      <c r="B54" s="43"/>
      <c r="C54" s="43"/>
      <c r="D54" s="43"/>
      <c r="E54" s="43"/>
      <c r="F54" s="43"/>
      <c r="G54" s="44"/>
      <c r="H54" s="45">
        <v>74216</v>
      </c>
      <c r="I54" s="58">
        <v>26568</v>
      </c>
      <c r="J54" s="46"/>
      <c r="K54" s="43"/>
      <c r="L54" s="45">
        <v>45300</v>
      </c>
      <c r="M54" s="45">
        <v>20737</v>
      </c>
      <c r="N54" s="46"/>
      <c r="O54" s="43">
        <v>61744</v>
      </c>
      <c r="P54" s="55">
        <v>904</v>
      </c>
      <c r="Q54" s="46">
        <v>48209</v>
      </c>
      <c r="R54" s="43"/>
      <c r="S54" s="55"/>
      <c r="T54" s="55"/>
      <c r="U54" s="46"/>
    </row>
    <row r="55" spans="1:21" s="37" customFormat="1" ht="25.5" x14ac:dyDescent="0.2">
      <c r="A55" s="40" t="s">
        <v>74</v>
      </c>
      <c r="B55" s="43"/>
      <c r="C55" s="43"/>
      <c r="D55" s="43"/>
      <c r="E55" s="43"/>
      <c r="F55" s="43"/>
      <c r="G55" s="44"/>
      <c r="H55" s="45">
        <v>35734</v>
      </c>
      <c r="I55" s="58">
        <v>4016</v>
      </c>
      <c r="J55" s="46"/>
      <c r="K55" s="43"/>
      <c r="L55" s="45">
        <v>25770</v>
      </c>
      <c r="M55" s="45"/>
      <c r="N55" s="46">
        <v>4016</v>
      </c>
      <c r="O55" s="43"/>
      <c r="P55" s="55"/>
      <c r="Q55" s="46"/>
      <c r="R55" s="43"/>
      <c r="S55" s="55"/>
      <c r="T55" s="55"/>
      <c r="U55" s="46"/>
    </row>
    <row r="56" spans="1:21" s="37" customFormat="1" ht="15" x14ac:dyDescent="0.25">
      <c r="A56" s="40" t="s">
        <v>75</v>
      </c>
      <c r="B56" s="43"/>
      <c r="C56" s="43"/>
      <c r="D56" s="43"/>
      <c r="E56" s="43"/>
      <c r="F56" s="43"/>
      <c r="G56" s="44">
        <v>3918</v>
      </c>
      <c r="H56" s="45"/>
      <c r="I56" s="58">
        <v>13340</v>
      </c>
      <c r="J56" s="46"/>
      <c r="K56" s="43"/>
      <c r="L56" s="45"/>
      <c r="M56" s="103">
        <v>6767</v>
      </c>
      <c r="N56" s="46"/>
      <c r="O56" s="43"/>
      <c r="P56" s="55"/>
      <c r="Q56" s="46">
        <v>20107</v>
      </c>
      <c r="R56" s="43"/>
      <c r="S56" s="55"/>
      <c r="T56" s="55"/>
      <c r="U56" s="46"/>
    </row>
    <row r="57" spans="1:21" s="37" customFormat="1" x14ac:dyDescent="0.2">
      <c r="A57" s="40" t="s">
        <v>76</v>
      </c>
      <c r="B57" s="43"/>
      <c r="C57" s="43"/>
      <c r="D57" s="43"/>
      <c r="E57" s="43"/>
      <c r="F57" s="43"/>
      <c r="G57" s="44"/>
      <c r="H57" s="45"/>
      <c r="I57" s="58"/>
      <c r="J57" s="46"/>
      <c r="K57" s="43"/>
      <c r="L57" s="45"/>
      <c r="M57" s="9">
        <v>1750</v>
      </c>
      <c r="N57" s="46"/>
      <c r="O57" s="43"/>
      <c r="P57" s="55">
        <v>1750</v>
      </c>
      <c r="Q57" s="46">
        <v>3500</v>
      </c>
      <c r="R57" s="43"/>
      <c r="S57" s="55"/>
      <c r="T57" s="55"/>
      <c r="U57" s="46"/>
    </row>
    <row r="58" spans="1:21" ht="25.5" x14ac:dyDescent="0.2">
      <c r="A58" s="18" t="s">
        <v>23</v>
      </c>
      <c r="B58" s="23"/>
      <c r="C58" s="23"/>
      <c r="D58" s="23"/>
      <c r="E58" s="23"/>
      <c r="F58" s="23">
        <v>38.97</v>
      </c>
      <c r="G58" s="6"/>
      <c r="H58" s="6">
        <f>60500+68500</f>
        <v>129000</v>
      </c>
      <c r="I58" s="59">
        <v>65000</v>
      </c>
      <c r="J58" s="24">
        <v>65000</v>
      </c>
      <c r="K58" s="47"/>
      <c r="L58" s="6">
        <f>181761-15761</f>
        <v>166000</v>
      </c>
      <c r="M58" s="7"/>
      <c r="N58" s="24"/>
      <c r="O58" s="23">
        <v>0</v>
      </c>
      <c r="P58" s="56"/>
      <c r="Q58" s="24"/>
      <c r="R58" s="23"/>
      <c r="S58" s="56"/>
      <c r="T58" s="56"/>
      <c r="U58" s="24"/>
    </row>
    <row r="59" spans="1:21" x14ac:dyDescent="0.2">
      <c r="A59" s="18" t="s">
        <v>151</v>
      </c>
      <c r="B59" s="23"/>
      <c r="C59" s="23"/>
      <c r="D59" s="23"/>
      <c r="E59" s="23"/>
      <c r="F59" s="23"/>
      <c r="G59" s="6"/>
      <c r="H59" s="6">
        <v>10000</v>
      </c>
      <c r="I59" s="59"/>
      <c r="J59" s="24"/>
      <c r="K59" s="47"/>
      <c r="L59" s="6"/>
      <c r="M59" s="62"/>
      <c r="N59" s="24"/>
      <c r="O59" s="23"/>
      <c r="P59" s="56"/>
      <c r="Q59" s="24"/>
      <c r="R59" s="23"/>
      <c r="S59" s="56"/>
      <c r="T59" s="56"/>
      <c r="U59" s="24"/>
    </row>
    <row r="60" spans="1:21" x14ac:dyDescent="0.2">
      <c r="A60" s="18" t="s">
        <v>24</v>
      </c>
      <c r="B60" s="23"/>
      <c r="C60" s="23"/>
      <c r="D60" s="23"/>
      <c r="E60" s="23"/>
      <c r="F60" s="23"/>
      <c r="G60" s="6"/>
      <c r="H60" s="6">
        <v>30452</v>
      </c>
      <c r="I60" s="59"/>
      <c r="J60" s="24"/>
      <c r="K60" s="47"/>
      <c r="L60" s="6">
        <v>62206</v>
      </c>
      <c r="M60" s="58">
        <v>37794</v>
      </c>
      <c r="N60" s="46">
        <v>37794</v>
      </c>
      <c r="O60" s="23">
        <v>25698</v>
      </c>
      <c r="P60" s="56"/>
      <c r="Q60" s="24"/>
      <c r="R60" s="23"/>
      <c r="S60" s="56"/>
      <c r="T60" s="56"/>
      <c r="U60" s="24"/>
    </row>
    <row r="61" spans="1:21" ht="25.5" x14ac:dyDescent="0.2">
      <c r="A61" s="87" t="s">
        <v>160</v>
      </c>
      <c r="B61" s="23"/>
      <c r="C61" s="23"/>
      <c r="D61" s="23"/>
      <c r="E61" s="23"/>
      <c r="F61" s="23"/>
      <c r="G61" s="6"/>
      <c r="H61" s="6">
        <v>7800</v>
      </c>
      <c r="I61" s="59"/>
      <c r="J61" s="24"/>
      <c r="K61" s="47"/>
      <c r="L61" s="6">
        <v>5700</v>
      </c>
      <c r="M61" s="7"/>
      <c r="N61" s="24"/>
      <c r="O61" s="23"/>
      <c r="P61" s="56"/>
      <c r="Q61" s="24"/>
      <c r="R61" s="23"/>
      <c r="S61" s="56"/>
      <c r="T61" s="56"/>
      <c r="U61" s="24"/>
    </row>
    <row r="62" spans="1:21" s="8" customFormat="1" x14ac:dyDescent="0.2">
      <c r="A62" s="17" t="s">
        <v>30</v>
      </c>
      <c r="B62" s="25">
        <f t="shared" ref="B62:U62" si="2">SUM(B50:B61)</f>
        <v>0</v>
      </c>
      <c r="C62" s="25">
        <f t="shared" si="2"/>
        <v>0</v>
      </c>
      <c r="D62" s="25">
        <f t="shared" si="2"/>
        <v>27131.74</v>
      </c>
      <c r="E62" s="25">
        <f t="shared" si="2"/>
        <v>0</v>
      </c>
      <c r="F62" s="25">
        <f t="shared" si="2"/>
        <v>38.97</v>
      </c>
      <c r="G62" s="25">
        <f t="shared" si="2"/>
        <v>44860</v>
      </c>
      <c r="H62" s="25">
        <f t="shared" si="2"/>
        <v>287202</v>
      </c>
      <c r="I62" s="25">
        <f t="shared" si="2"/>
        <v>157613.78</v>
      </c>
      <c r="J62" s="25">
        <f t="shared" si="2"/>
        <v>65000</v>
      </c>
      <c r="K62" s="25">
        <f t="shared" si="2"/>
        <v>0</v>
      </c>
      <c r="L62" s="25">
        <f t="shared" si="2"/>
        <v>304976</v>
      </c>
      <c r="M62" s="25">
        <f t="shared" si="2"/>
        <v>81151</v>
      </c>
      <c r="N62" s="25">
        <f t="shared" si="2"/>
        <v>100245.52</v>
      </c>
      <c r="O62" s="25">
        <f t="shared" si="2"/>
        <v>87442</v>
      </c>
      <c r="P62" s="25">
        <f t="shared" si="2"/>
        <v>2654</v>
      </c>
      <c r="Q62" s="25">
        <f t="shared" si="2"/>
        <v>103305</v>
      </c>
      <c r="R62" s="25">
        <f t="shared" si="2"/>
        <v>0</v>
      </c>
      <c r="S62" s="25">
        <f t="shared" si="2"/>
        <v>0</v>
      </c>
      <c r="T62" s="25">
        <f t="shared" si="2"/>
        <v>0</v>
      </c>
      <c r="U62" s="25">
        <f t="shared" si="2"/>
        <v>0</v>
      </c>
    </row>
    <row r="63" spans="1:21" s="37" customFormat="1" x14ac:dyDescent="0.2">
      <c r="A63" s="38" t="s">
        <v>102</v>
      </c>
      <c r="B63" s="43"/>
      <c r="C63" s="43"/>
      <c r="D63" s="43"/>
      <c r="E63" s="43"/>
      <c r="F63" s="43"/>
      <c r="G63" s="44"/>
      <c r="H63" s="45"/>
      <c r="I63" s="58"/>
      <c r="J63" s="46"/>
      <c r="K63" s="43"/>
      <c r="L63" s="45"/>
      <c r="M63" s="58">
        <v>6000</v>
      </c>
      <c r="N63" s="46"/>
      <c r="O63" s="43"/>
      <c r="P63" s="55">
        <v>14200</v>
      </c>
      <c r="Q63" s="46">
        <v>20200</v>
      </c>
      <c r="R63" s="43"/>
      <c r="S63" s="55"/>
      <c r="T63" s="55"/>
      <c r="U63" s="46"/>
    </row>
    <row r="64" spans="1:21" s="37" customFormat="1" x14ac:dyDescent="0.2">
      <c r="A64" s="38" t="s">
        <v>103</v>
      </c>
      <c r="B64" s="43"/>
      <c r="C64" s="43"/>
      <c r="D64" s="43">
        <v>1730.77</v>
      </c>
      <c r="E64" s="43"/>
      <c r="F64" s="43"/>
      <c r="G64" s="44"/>
      <c r="H64" s="45"/>
      <c r="I64" s="58">
        <f>4250+509.3</f>
        <v>4759.3</v>
      </c>
      <c r="J64" s="46">
        <v>6490</v>
      </c>
      <c r="K64" s="43"/>
      <c r="L64" s="45"/>
      <c r="M64" s="58"/>
      <c r="N64" s="46"/>
      <c r="O64" s="43"/>
      <c r="P64" s="55"/>
      <c r="Q64" s="46"/>
      <c r="R64" s="43"/>
      <c r="S64" s="55"/>
      <c r="T64" s="55"/>
      <c r="U64" s="46"/>
    </row>
    <row r="65" spans="1:21" s="37" customFormat="1" x14ac:dyDescent="0.2">
      <c r="A65" s="38" t="s">
        <v>104</v>
      </c>
      <c r="B65" s="43"/>
      <c r="C65" s="43"/>
      <c r="D65" s="43">
        <v>2331.21</v>
      </c>
      <c r="E65" s="43"/>
      <c r="F65" s="43"/>
      <c r="G65" s="44">
        <v>3750</v>
      </c>
      <c r="H65" s="45"/>
      <c r="I65" s="58">
        <f>15750+9418.78</f>
        <v>25168.78</v>
      </c>
      <c r="J65" s="46">
        <v>27500</v>
      </c>
      <c r="K65" s="43"/>
      <c r="L65" s="45"/>
      <c r="M65" s="58"/>
      <c r="N65" s="46"/>
      <c r="O65" s="43"/>
      <c r="P65" s="55"/>
      <c r="Q65" s="46"/>
      <c r="R65" s="43"/>
      <c r="S65" s="55"/>
      <c r="T65" s="55"/>
      <c r="U65" s="46"/>
    </row>
    <row r="66" spans="1:21" s="37" customFormat="1" x14ac:dyDescent="0.2">
      <c r="A66" s="38" t="s">
        <v>105</v>
      </c>
      <c r="B66" s="43"/>
      <c r="C66" s="43"/>
      <c r="D66" s="43">
        <v>3264.72</v>
      </c>
      <c r="E66" s="43"/>
      <c r="F66" s="43"/>
      <c r="G66" s="44"/>
      <c r="H66" s="45"/>
      <c r="I66" s="58">
        <f>2169+2175.17</f>
        <v>4344.17</v>
      </c>
      <c r="J66" s="46">
        <v>7500</v>
      </c>
      <c r="K66" s="43"/>
      <c r="L66" s="45"/>
      <c r="M66" s="58"/>
      <c r="N66" s="46"/>
      <c r="O66" s="43"/>
      <c r="P66" s="55"/>
      <c r="Q66" s="46"/>
      <c r="R66" s="43"/>
      <c r="S66" s="55"/>
      <c r="T66" s="55"/>
      <c r="U66" s="46"/>
    </row>
    <row r="67" spans="1:21" s="37" customFormat="1" ht="25.5" x14ac:dyDescent="0.2">
      <c r="A67" s="38" t="s">
        <v>106</v>
      </c>
      <c r="B67" s="43"/>
      <c r="C67" s="43"/>
      <c r="D67" s="43">
        <v>1152.77</v>
      </c>
      <c r="E67" s="43"/>
      <c r="F67" s="43"/>
      <c r="G67" s="44"/>
      <c r="H67" s="45"/>
      <c r="I67" s="58">
        <v>6347.22</v>
      </c>
      <c r="J67" s="46">
        <v>7500</v>
      </c>
      <c r="K67" s="43"/>
      <c r="L67" s="45"/>
      <c r="M67" s="58"/>
      <c r="N67" s="46"/>
      <c r="O67" s="43"/>
      <c r="P67" s="55"/>
      <c r="Q67" s="46"/>
      <c r="R67" s="43"/>
      <c r="S67" s="55"/>
      <c r="T67" s="55"/>
      <c r="U67" s="46"/>
    </row>
    <row r="68" spans="1:21" s="37" customFormat="1" x14ac:dyDescent="0.2">
      <c r="A68" s="38" t="s">
        <v>107</v>
      </c>
      <c r="B68" s="43"/>
      <c r="C68" s="43"/>
      <c r="D68" s="43"/>
      <c r="E68" s="43"/>
      <c r="F68" s="43"/>
      <c r="G68" s="44"/>
      <c r="H68" s="45">
        <v>0</v>
      </c>
      <c r="I68" s="58">
        <v>6300</v>
      </c>
      <c r="J68" s="46"/>
      <c r="K68" s="43"/>
      <c r="L68" s="45"/>
      <c r="M68" s="58">
        <v>12100</v>
      </c>
      <c r="N68" s="46"/>
      <c r="O68" s="43"/>
      <c r="P68" s="55"/>
      <c r="Q68" s="46">
        <v>18400</v>
      </c>
      <c r="R68" s="43"/>
      <c r="S68" s="55"/>
      <c r="T68" s="55"/>
      <c r="U68" s="46"/>
    </row>
    <row r="69" spans="1:21" s="37" customFormat="1" x14ac:dyDescent="0.2">
      <c r="A69" s="38" t="s">
        <v>108</v>
      </c>
      <c r="B69" s="43"/>
      <c r="C69" s="43"/>
      <c r="D69" s="43"/>
      <c r="E69" s="43"/>
      <c r="F69" s="43"/>
      <c r="G69" s="44"/>
      <c r="H69" s="45">
        <v>0</v>
      </c>
      <c r="I69" s="58">
        <v>0</v>
      </c>
      <c r="J69" s="46"/>
      <c r="K69" s="43"/>
      <c r="L69" s="45"/>
      <c r="M69" s="58">
        <v>4200</v>
      </c>
      <c r="N69" s="46"/>
      <c r="O69" s="43"/>
      <c r="P69" s="55">
        <v>12400</v>
      </c>
      <c r="Q69" s="46">
        <v>16600</v>
      </c>
      <c r="R69" s="43"/>
      <c r="S69" s="55"/>
      <c r="T69" s="55"/>
      <c r="U69" s="46"/>
    </row>
    <row r="70" spans="1:21" s="37" customFormat="1" ht="25.5" x14ac:dyDescent="0.2">
      <c r="A70" s="39" t="s">
        <v>77</v>
      </c>
      <c r="B70" s="43"/>
      <c r="C70" s="43"/>
      <c r="D70" s="43"/>
      <c r="E70" s="43">
        <v>15545.26</v>
      </c>
      <c r="F70" s="43"/>
      <c r="G70" s="44"/>
      <c r="H70" s="45"/>
      <c r="I70" s="58"/>
      <c r="J70" s="46"/>
      <c r="K70" s="43"/>
      <c r="L70" s="45"/>
      <c r="M70" s="58"/>
      <c r="N70" s="46"/>
      <c r="O70" s="43"/>
      <c r="P70" s="55"/>
      <c r="Q70" s="46"/>
      <c r="R70" s="43"/>
      <c r="S70" s="55"/>
      <c r="T70" s="55"/>
      <c r="U70" s="46"/>
    </row>
    <row r="71" spans="1:21" s="37" customFormat="1" ht="25.5" x14ac:dyDescent="0.2">
      <c r="A71" s="39" t="s">
        <v>79</v>
      </c>
      <c r="B71" s="43"/>
      <c r="C71" s="43"/>
      <c r="D71" s="43">
        <v>1156.56</v>
      </c>
      <c r="E71" s="43">
        <v>11447.35</v>
      </c>
      <c r="F71" s="43"/>
      <c r="G71" s="44"/>
      <c r="H71" s="45"/>
      <c r="I71" s="58"/>
      <c r="J71" s="46"/>
      <c r="K71" s="43"/>
      <c r="L71" s="45"/>
      <c r="M71" s="58"/>
      <c r="N71" s="46"/>
      <c r="O71" s="43"/>
      <c r="P71" s="55"/>
      <c r="Q71" s="46"/>
      <c r="R71" s="43"/>
      <c r="S71" s="55"/>
      <c r="T71" s="55"/>
      <c r="U71" s="46"/>
    </row>
    <row r="72" spans="1:21" s="37" customFormat="1" x14ac:dyDescent="0.2">
      <c r="A72" s="39" t="s">
        <v>78</v>
      </c>
      <c r="B72" s="43"/>
      <c r="C72" s="43"/>
      <c r="D72" s="43"/>
      <c r="E72" s="43"/>
      <c r="F72" s="43"/>
      <c r="G72" s="44">
        <v>6597</v>
      </c>
      <c r="H72" s="45"/>
      <c r="I72" s="58"/>
      <c r="J72" s="46"/>
      <c r="K72" s="43"/>
      <c r="L72" s="45"/>
      <c r="M72" s="58"/>
      <c r="N72" s="46"/>
      <c r="O72" s="43"/>
      <c r="P72" s="55"/>
      <c r="Q72" s="46"/>
      <c r="R72" s="43"/>
      <c r="S72" s="55"/>
      <c r="T72" s="55"/>
      <c r="U72" s="46"/>
    </row>
    <row r="73" spans="1:21" s="37" customFormat="1" x14ac:dyDescent="0.2">
      <c r="A73" s="39" t="s">
        <v>80</v>
      </c>
      <c r="B73" s="43"/>
      <c r="C73" s="43"/>
      <c r="D73" s="43">
        <v>2148.46</v>
      </c>
      <c r="E73" s="43"/>
      <c r="F73" s="43"/>
      <c r="G73" s="44">
        <v>17701</v>
      </c>
      <c r="H73" s="45"/>
      <c r="I73" s="58">
        <f>5292+3701.2</f>
        <v>8993.2000000000007</v>
      </c>
      <c r="J73" s="46">
        <v>11141.67</v>
      </c>
      <c r="K73" s="43"/>
      <c r="L73" s="45"/>
      <c r="M73" s="58"/>
      <c r="N73" s="46"/>
      <c r="O73" s="43"/>
      <c r="P73" s="55"/>
      <c r="Q73" s="46"/>
      <c r="R73" s="43"/>
      <c r="S73" s="55"/>
      <c r="T73" s="55"/>
      <c r="U73" s="46"/>
    </row>
    <row r="74" spans="1:21" s="37" customFormat="1" ht="25.5" x14ac:dyDescent="0.2">
      <c r="A74" s="39" t="s">
        <v>81</v>
      </c>
      <c r="B74" s="43"/>
      <c r="C74" s="43"/>
      <c r="D74" s="43"/>
      <c r="E74" s="43"/>
      <c r="F74" s="43"/>
      <c r="G74" s="44"/>
      <c r="H74" s="45"/>
      <c r="I74" s="58"/>
      <c r="J74" s="46"/>
      <c r="K74" s="43"/>
      <c r="L74" s="45"/>
      <c r="M74" s="58">
        <v>3473</v>
      </c>
      <c r="N74" s="46"/>
      <c r="O74" s="43"/>
      <c r="P74" s="55"/>
      <c r="Q74" s="46">
        <v>3473</v>
      </c>
      <c r="R74" s="43"/>
      <c r="S74" s="55"/>
      <c r="T74" s="55"/>
      <c r="U74" s="46"/>
    </row>
    <row r="75" spans="1:21" s="37" customFormat="1" x14ac:dyDescent="0.2">
      <c r="A75" s="39" t="s">
        <v>82</v>
      </c>
      <c r="B75" s="43"/>
      <c r="C75" s="43"/>
      <c r="D75" s="43"/>
      <c r="E75" s="43"/>
      <c r="F75" s="43"/>
      <c r="G75" s="44"/>
      <c r="H75" s="45"/>
      <c r="I75" s="58"/>
      <c r="J75" s="46"/>
      <c r="K75" s="43"/>
      <c r="L75" s="45"/>
      <c r="M75" s="58">
        <v>4096</v>
      </c>
      <c r="N75" s="46"/>
      <c r="O75" s="43"/>
      <c r="P75" s="55"/>
      <c r="Q75" s="46">
        <v>4096</v>
      </c>
      <c r="R75" s="43"/>
      <c r="S75" s="55"/>
      <c r="T75" s="55"/>
      <c r="U75" s="46"/>
    </row>
    <row r="76" spans="1:21" s="37" customFormat="1" x14ac:dyDescent="0.2">
      <c r="A76" s="39" t="s">
        <v>83</v>
      </c>
      <c r="B76" s="43"/>
      <c r="C76" s="43"/>
      <c r="D76" s="43"/>
      <c r="E76" s="43"/>
      <c r="F76" s="43"/>
      <c r="G76" s="44"/>
      <c r="H76" s="45"/>
      <c r="I76" s="58"/>
      <c r="J76" s="46"/>
      <c r="K76" s="43"/>
      <c r="L76" s="45"/>
      <c r="M76" s="58">
        <v>3819</v>
      </c>
      <c r="N76" s="46"/>
      <c r="O76" s="43"/>
      <c r="P76" s="55"/>
      <c r="Q76" s="46">
        <v>3819</v>
      </c>
      <c r="R76" s="43"/>
      <c r="S76" s="55"/>
      <c r="T76" s="55"/>
      <c r="U76" s="46"/>
    </row>
    <row r="77" spans="1:21" s="37" customFormat="1" x14ac:dyDescent="0.2">
      <c r="A77" s="39" t="s">
        <v>84</v>
      </c>
      <c r="B77" s="43"/>
      <c r="C77" s="43"/>
      <c r="D77" s="43"/>
      <c r="E77" s="43"/>
      <c r="F77" s="43"/>
      <c r="G77" s="44"/>
      <c r="H77" s="45"/>
      <c r="I77" s="58"/>
      <c r="J77" s="46"/>
      <c r="K77" s="43"/>
      <c r="L77" s="45"/>
      <c r="M77" s="58">
        <v>7264</v>
      </c>
      <c r="N77" s="46"/>
      <c r="O77" s="43"/>
      <c r="P77" s="55"/>
      <c r="Q77" s="46">
        <v>7264</v>
      </c>
      <c r="R77" s="43"/>
      <c r="S77" s="55"/>
      <c r="T77" s="55"/>
      <c r="U77" s="46"/>
    </row>
    <row r="78" spans="1:21" s="37" customFormat="1" x14ac:dyDescent="0.2">
      <c r="A78" s="39" t="s">
        <v>85</v>
      </c>
      <c r="B78" s="43"/>
      <c r="C78" s="43"/>
      <c r="D78" s="43"/>
      <c r="E78" s="43"/>
      <c r="F78" s="43"/>
      <c r="G78" s="44"/>
      <c r="H78" s="45"/>
      <c r="I78" s="58"/>
      <c r="J78" s="46"/>
      <c r="K78" s="43"/>
      <c r="L78" s="45"/>
      <c r="M78" s="58">
        <v>12270</v>
      </c>
      <c r="N78" s="46"/>
      <c r="O78" s="43"/>
      <c r="P78" s="55"/>
      <c r="Q78" s="46">
        <v>12270</v>
      </c>
      <c r="R78" s="43"/>
      <c r="S78" s="55"/>
      <c r="T78" s="55"/>
      <c r="U78" s="46"/>
    </row>
    <row r="79" spans="1:21" s="37" customFormat="1" x14ac:dyDescent="0.2">
      <c r="A79" s="39" t="s">
        <v>86</v>
      </c>
      <c r="B79" s="43"/>
      <c r="C79" s="43"/>
      <c r="D79" s="43"/>
      <c r="E79" s="43"/>
      <c r="F79" s="43"/>
      <c r="G79" s="44"/>
      <c r="H79" s="45"/>
      <c r="I79" s="58"/>
      <c r="J79" s="46"/>
      <c r="K79" s="43"/>
      <c r="L79" s="45"/>
      <c r="M79" s="58">
        <v>1561</v>
      </c>
      <c r="N79" s="46"/>
      <c r="O79" s="43"/>
      <c r="P79" s="55"/>
      <c r="Q79" s="46">
        <v>1561</v>
      </c>
      <c r="R79" s="43"/>
      <c r="S79" s="55"/>
      <c r="T79" s="55"/>
      <c r="U79" s="46"/>
    </row>
    <row r="80" spans="1:21" s="37" customFormat="1" x14ac:dyDescent="0.2">
      <c r="A80" s="39" t="s">
        <v>87</v>
      </c>
      <c r="B80" s="43"/>
      <c r="C80" s="43"/>
      <c r="D80" s="43"/>
      <c r="E80" s="43"/>
      <c r="F80" s="43"/>
      <c r="G80" s="44"/>
      <c r="H80" s="45"/>
      <c r="I80" s="58"/>
      <c r="J80" s="46"/>
      <c r="K80" s="43"/>
      <c r="L80" s="45"/>
      <c r="M80" s="58">
        <v>7683</v>
      </c>
      <c r="N80" s="46"/>
      <c r="O80" s="43"/>
      <c r="P80" s="55"/>
      <c r="Q80" s="46">
        <v>7683</v>
      </c>
      <c r="R80" s="43"/>
      <c r="S80" s="55"/>
      <c r="T80" s="55"/>
      <c r="U80" s="46"/>
    </row>
    <row r="81" spans="1:21" s="37" customFormat="1" x14ac:dyDescent="0.2">
      <c r="A81" s="39" t="s">
        <v>88</v>
      </c>
      <c r="B81" s="43"/>
      <c r="C81" s="43"/>
      <c r="D81" s="43"/>
      <c r="E81" s="43"/>
      <c r="F81" s="43"/>
      <c r="G81" s="44"/>
      <c r="H81" s="45"/>
      <c r="I81" s="58"/>
      <c r="J81" s="46"/>
      <c r="K81" s="43"/>
      <c r="L81" s="45"/>
      <c r="M81" s="58">
        <v>10928</v>
      </c>
      <c r="N81" s="46"/>
      <c r="O81" s="43"/>
      <c r="P81" s="55"/>
      <c r="Q81" s="46">
        <v>10928</v>
      </c>
      <c r="R81" s="43"/>
      <c r="S81" s="55"/>
      <c r="T81" s="55"/>
      <c r="U81" s="46"/>
    </row>
    <row r="82" spans="1:21" s="37" customFormat="1" x14ac:dyDescent="0.2">
      <c r="A82" s="39" t="s">
        <v>89</v>
      </c>
      <c r="B82" s="43"/>
      <c r="C82" s="43"/>
      <c r="D82" s="43"/>
      <c r="E82" s="43"/>
      <c r="F82" s="43"/>
      <c r="G82" s="44"/>
      <c r="H82" s="45"/>
      <c r="I82" s="58"/>
      <c r="J82" s="46"/>
      <c r="K82" s="43"/>
      <c r="L82" s="45"/>
      <c r="M82" s="58">
        <v>3356</v>
      </c>
      <c r="N82" s="46"/>
      <c r="O82" s="43"/>
      <c r="P82" s="55"/>
      <c r="Q82" s="46">
        <v>3356</v>
      </c>
      <c r="R82" s="43"/>
      <c r="S82" s="55"/>
      <c r="T82" s="55"/>
      <c r="U82" s="46"/>
    </row>
    <row r="83" spans="1:21" s="37" customFormat="1" x14ac:dyDescent="0.2">
      <c r="A83" s="39" t="s">
        <v>90</v>
      </c>
      <c r="B83" s="43"/>
      <c r="C83" s="43"/>
      <c r="D83" s="43"/>
      <c r="E83" s="43"/>
      <c r="F83" s="43"/>
      <c r="G83" s="44"/>
      <c r="H83" s="45"/>
      <c r="I83" s="58"/>
      <c r="J83" s="46"/>
      <c r="K83" s="43"/>
      <c r="L83" s="45"/>
      <c r="M83" s="58">
        <v>2380</v>
      </c>
      <c r="N83" s="46"/>
      <c r="O83" s="43"/>
      <c r="P83" s="55"/>
      <c r="Q83" s="46">
        <v>2380</v>
      </c>
      <c r="R83" s="43"/>
      <c r="S83" s="55"/>
      <c r="T83" s="55"/>
      <c r="U83" s="46"/>
    </row>
    <row r="84" spans="1:21" s="37" customFormat="1" x14ac:dyDescent="0.2">
      <c r="A84" s="39" t="s">
        <v>155</v>
      </c>
      <c r="B84" s="43"/>
      <c r="C84" s="43"/>
      <c r="D84" s="43"/>
      <c r="E84" s="43"/>
      <c r="F84" s="43"/>
      <c r="G84" s="44"/>
      <c r="H84" s="45"/>
      <c r="I84" s="58"/>
      <c r="J84" s="46"/>
      <c r="K84" s="102"/>
      <c r="L84" s="102"/>
      <c r="M84" s="58">
        <v>4800</v>
      </c>
      <c r="N84" s="46">
        <v>4800</v>
      </c>
      <c r="O84" s="43"/>
      <c r="P84" s="55"/>
      <c r="Q84" s="46"/>
      <c r="R84" s="43"/>
      <c r="S84" s="55"/>
      <c r="T84" s="55"/>
      <c r="U84" s="46"/>
    </row>
    <row r="85" spans="1:21" s="37" customFormat="1" x14ac:dyDescent="0.2">
      <c r="A85" s="39" t="s">
        <v>156</v>
      </c>
      <c r="B85" s="43"/>
      <c r="C85" s="43"/>
      <c r="D85" s="43"/>
      <c r="E85" s="43"/>
      <c r="F85" s="43"/>
      <c r="G85" s="44"/>
      <c r="H85" s="45"/>
      <c r="I85" s="58"/>
      <c r="J85" s="46"/>
      <c r="K85" s="102"/>
      <c r="L85" s="102"/>
      <c r="M85" s="58">
        <v>3800</v>
      </c>
      <c r="N85" s="46">
        <v>3800</v>
      </c>
      <c r="O85" s="43"/>
      <c r="P85" s="55"/>
      <c r="Q85" s="46"/>
      <c r="R85" s="43"/>
      <c r="S85" s="55"/>
      <c r="T85" s="55"/>
      <c r="U85" s="46"/>
    </row>
    <row r="86" spans="1:21" s="37" customFormat="1" ht="25.5" x14ac:dyDescent="0.2">
      <c r="A86" s="39" t="s">
        <v>157</v>
      </c>
      <c r="B86" s="43"/>
      <c r="C86" s="43"/>
      <c r="D86" s="43"/>
      <c r="E86" s="43"/>
      <c r="F86" s="43"/>
      <c r="G86" s="44"/>
      <c r="H86" s="45"/>
      <c r="I86" s="58"/>
      <c r="J86" s="46"/>
      <c r="K86" s="102"/>
      <c r="L86" s="102"/>
      <c r="M86" s="58">
        <v>3800</v>
      </c>
      <c r="N86" s="46">
        <v>3800</v>
      </c>
      <c r="O86" s="43"/>
      <c r="P86" s="55"/>
      <c r="Q86" s="46"/>
      <c r="R86" s="43"/>
      <c r="S86" s="55"/>
      <c r="T86" s="55"/>
      <c r="U86" s="46"/>
    </row>
    <row r="87" spans="1:21" s="37" customFormat="1" x14ac:dyDescent="0.2">
      <c r="A87" s="39" t="s">
        <v>158</v>
      </c>
      <c r="B87" s="43"/>
      <c r="C87" s="43"/>
      <c r="D87" s="43"/>
      <c r="E87" s="43"/>
      <c r="F87" s="43"/>
      <c r="G87" s="44"/>
      <c r="H87" s="45"/>
      <c r="I87" s="58"/>
      <c r="J87" s="46"/>
      <c r="K87" s="102"/>
      <c r="L87" s="102"/>
      <c r="M87" s="58">
        <v>6800</v>
      </c>
      <c r="N87" s="46">
        <v>6800</v>
      </c>
      <c r="O87" s="43"/>
      <c r="P87" s="55"/>
      <c r="Q87" s="46"/>
      <c r="R87" s="43"/>
      <c r="S87" s="55"/>
      <c r="T87" s="55"/>
      <c r="U87" s="46"/>
    </row>
    <row r="88" spans="1:21" s="37" customFormat="1" ht="25.5" x14ac:dyDescent="0.2">
      <c r="A88" s="39" t="s">
        <v>159</v>
      </c>
      <c r="B88" s="43"/>
      <c r="C88" s="43"/>
      <c r="D88" s="43"/>
      <c r="E88" s="43"/>
      <c r="F88" s="43"/>
      <c r="G88" s="44"/>
      <c r="H88" s="45"/>
      <c r="I88" s="58"/>
      <c r="J88" s="46"/>
      <c r="K88" s="102"/>
      <c r="L88" s="102"/>
      <c r="M88" s="58">
        <v>3300</v>
      </c>
      <c r="N88" s="46">
        <v>3300</v>
      </c>
      <c r="O88" s="43"/>
      <c r="P88" s="55"/>
      <c r="Q88" s="46"/>
      <c r="R88" s="43"/>
      <c r="S88" s="55"/>
      <c r="T88" s="55"/>
      <c r="U88" s="46"/>
    </row>
    <row r="89" spans="1:21" x14ac:dyDescent="0.2">
      <c r="A89" s="16" t="s">
        <v>7</v>
      </c>
      <c r="B89" s="23"/>
      <c r="C89" s="23"/>
      <c r="D89" s="23"/>
      <c r="E89" s="23"/>
      <c r="F89" s="23">
        <v>162175.28</v>
      </c>
      <c r="G89" s="6"/>
      <c r="H89" s="6">
        <v>22700</v>
      </c>
      <c r="I89" s="59"/>
      <c r="J89" s="24"/>
      <c r="K89" s="23"/>
      <c r="L89" s="6">
        <v>500</v>
      </c>
      <c r="M89" s="59"/>
      <c r="N89" s="24"/>
      <c r="O89" s="23"/>
      <c r="P89" s="56"/>
      <c r="Q89" s="24"/>
      <c r="R89" s="23"/>
      <c r="S89" s="56"/>
      <c r="T89" s="56"/>
      <c r="U89" s="24"/>
    </row>
    <row r="90" spans="1:21" x14ac:dyDescent="0.2">
      <c r="A90" s="16" t="s">
        <v>8</v>
      </c>
      <c r="B90" s="23"/>
      <c r="C90" s="23"/>
      <c r="D90" s="23"/>
      <c r="E90" s="23"/>
      <c r="F90" s="23"/>
      <c r="G90" s="6"/>
      <c r="H90" s="6">
        <v>17098</v>
      </c>
      <c r="I90" s="59"/>
      <c r="J90" s="24"/>
      <c r="K90" s="47"/>
      <c r="L90" s="6">
        <v>20000</v>
      </c>
      <c r="M90" s="59"/>
      <c r="N90" s="24"/>
      <c r="O90" s="23">
        <v>13500</v>
      </c>
      <c r="P90" s="56"/>
      <c r="Q90" s="24"/>
      <c r="R90" s="23"/>
      <c r="S90" s="56"/>
      <c r="T90" s="56"/>
      <c r="U90" s="24"/>
    </row>
    <row r="91" spans="1:21" x14ac:dyDescent="0.2">
      <c r="A91" s="16" t="s">
        <v>9</v>
      </c>
      <c r="B91" s="23"/>
      <c r="C91" s="23"/>
      <c r="D91" s="23"/>
      <c r="E91" s="23"/>
      <c r="F91" s="23"/>
      <c r="G91" s="6"/>
      <c r="H91" s="6">
        <v>5500</v>
      </c>
      <c r="I91" s="59"/>
      <c r="J91" s="24"/>
      <c r="K91" s="47"/>
      <c r="L91" s="6"/>
      <c r="M91" s="59"/>
      <c r="N91" s="24"/>
      <c r="O91" s="23"/>
      <c r="P91" s="56"/>
      <c r="Q91" s="24"/>
      <c r="R91" s="23"/>
      <c r="S91" s="56"/>
      <c r="T91" s="56"/>
      <c r="U91" s="24"/>
    </row>
    <row r="92" spans="1:21" x14ac:dyDescent="0.2">
      <c r="A92" s="16" t="s">
        <v>10</v>
      </c>
      <c r="B92" s="23"/>
      <c r="C92" s="23"/>
      <c r="D92" s="23"/>
      <c r="E92" s="23"/>
      <c r="F92" s="23"/>
      <c r="G92" s="6"/>
      <c r="H92" s="6">
        <v>30200</v>
      </c>
      <c r="I92" s="59"/>
      <c r="J92" s="24"/>
      <c r="K92" s="23"/>
      <c r="L92" s="6"/>
      <c r="M92" s="59"/>
      <c r="N92" s="24"/>
      <c r="O92" s="23"/>
      <c r="P92" s="56"/>
      <c r="Q92" s="24"/>
      <c r="R92" s="23"/>
      <c r="S92" s="56"/>
      <c r="T92" s="56"/>
      <c r="U92" s="24"/>
    </row>
    <row r="93" spans="1:21" x14ac:dyDescent="0.2">
      <c r="A93" s="16" t="s">
        <v>11</v>
      </c>
      <c r="B93" s="23"/>
      <c r="C93" s="23"/>
      <c r="D93" s="23"/>
      <c r="E93" s="23"/>
      <c r="F93" s="23"/>
      <c r="G93" s="6"/>
      <c r="H93" s="6">
        <v>15000</v>
      </c>
      <c r="I93" s="59"/>
      <c r="J93" s="24"/>
      <c r="K93" s="23"/>
      <c r="L93" s="6"/>
      <c r="M93" s="59"/>
      <c r="N93" s="24"/>
      <c r="O93" s="23"/>
      <c r="P93" s="56"/>
      <c r="Q93" s="24"/>
      <c r="R93" s="23"/>
      <c r="S93" s="56"/>
      <c r="T93" s="56"/>
      <c r="U93" s="24"/>
    </row>
    <row r="94" spans="1:21" x14ac:dyDescent="0.2">
      <c r="A94" s="16" t="s">
        <v>12</v>
      </c>
      <c r="B94" s="23"/>
      <c r="C94" s="23"/>
      <c r="D94" s="23"/>
      <c r="E94" s="23"/>
      <c r="F94" s="23"/>
      <c r="G94" s="6"/>
      <c r="H94" s="6">
        <v>52090</v>
      </c>
      <c r="I94" s="59"/>
      <c r="J94" s="24"/>
      <c r="K94" s="23"/>
      <c r="L94" s="6"/>
      <c r="M94" s="59"/>
      <c r="N94" s="24"/>
      <c r="O94" s="23"/>
      <c r="P94" s="56"/>
      <c r="Q94" s="24"/>
      <c r="R94" s="23"/>
      <c r="S94" s="56"/>
      <c r="T94" s="56"/>
      <c r="U94" s="24"/>
    </row>
    <row r="95" spans="1:21" x14ac:dyDescent="0.2">
      <c r="A95" s="16" t="s">
        <v>13</v>
      </c>
      <c r="B95" s="23"/>
      <c r="C95" s="23"/>
      <c r="D95" s="23"/>
      <c r="E95" s="23"/>
      <c r="F95" s="23"/>
      <c r="G95" s="6"/>
      <c r="H95" s="6">
        <v>20000</v>
      </c>
      <c r="I95" s="59"/>
      <c r="J95" s="24"/>
      <c r="K95" s="47"/>
      <c r="L95" s="6">
        <v>20000</v>
      </c>
      <c r="M95" s="59"/>
      <c r="N95" s="24"/>
      <c r="O95" s="23"/>
      <c r="P95" s="56"/>
      <c r="Q95" s="24"/>
      <c r="R95" s="23"/>
      <c r="S95" s="56"/>
      <c r="T95" s="56"/>
      <c r="U95" s="24"/>
    </row>
    <row r="96" spans="1:21" x14ac:dyDescent="0.2">
      <c r="A96" s="19" t="s">
        <v>14</v>
      </c>
      <c r="B96" s="23"/>
      <c r="C96" s="23"/>
      <c r="D96" s="23"/>
      <c r="E96" s="23"/>
      <c r="F96" s="23"/>
      <c r="G96" s="6"/>
      <c r="H96" s="6">
        <v>30000</v>
      </c>
      <c r="I96" s="59"/>
      <c r="J96" s="24"/>
      <c r="K96" s="47"/>
      <c r="L96" s="6">
        <v>21139</v>
      </c>
      <c r="M96" s="59"/>
      <c r="N96" s="24"/>
      <c r="O96" s="23"/>
      <c r="P96" s="56"/>
      <c r="Q96" s="24"/>
      <c r="R96" s="23"/>
      <c r="S96" s="56"/>
      <c r="T96" s="56"/>
      <c r="U96" s="24"/>
    </row>
    <row r="97" spans="1:21" x14ac:dyDescent="0.2">
      <c r="A97" s="16" t="s">
        <v>15</v>
      </c>
      <c r="B97" s="23"/>
      <c r="C97" s="23"/>
      <c r="D97" s="23"/>
      <c r="E97" s="23"/>
      <c r="F97" s="23"/>
      <c r="G97" s="6"/>
      <c r="H97" s="6">
        <v>62571</v>
      </c>
      <c r="I97" s="59"/>
      <c r="J97" s="24"/>
      <c r="K97" s="47"/>
      <c r="L97" s="6">
        <v>113428</v>
      </c>
      <c r="M97" s="59"/>
      <c r="N97" s="24"/>
      <c r="O97" s="23"/>
      <c r="P97" s="56"/>
      <c r="Q97" s="24"/>
      <c r="R97" s="23"/>
      <c r="S97" s="56"/>
      <c r="T97" s="56"/>
      <c r="U97" s="24"/>
    </row>
    <row r="98" spans="1:21" ht="25.5" x14ac:dyDescent="0.2">
      <c r="A98" s="16" t="s">
        <v>35</v>
      </c>
      <c r="B98" s="23"/>
      <c r="C98" s="23"/>
      <c r="D98" s="23"/>
      <c r="E98" s="23"/>
      <c r="F98" s="23"/>
      <c r="G98" s="6"/>
      <c r="H98" s="6">
        <v>6200</v>
      </c>
      <c r="I98" s="59"/>
      <c r="J98" s="24"/>
      <c r="K98" s="23"/>
      <c r="L98" s="6"/>
      <c r="M98" s="59"/>
      <c r="N98" s="24"/>
      <c r="O98" s="23"/>
      <c r="P98" s="56"/>
      <c r="Q98" s="24"/>
      <c r="R98" s="23"/>
      <c r="S98" s="56"/>
      <c r="T98" s="56"/>
      <c r="U98" s="24"/>
    </row>
    <row r="99" spans="1:21" x14ac:dyDescent="0.2">
      <c r="A99" s="16" t="s">
        <v>16</v>
      </c>
      <c r="B99" s="23"/>
      <c r="C99" s="23"/>
      <c r="D99" s="23"/>
      <c r="E99" s="23"/>
      <c r="F99" s="23"/>
      <c r="G99" s="6"/>
      <c r="H99" s="6">
        <v>5500</v>
      </c>
      <c r="I99" s="59"/>
      <c r="J99" s="24"/>
      <c r="K99" s="47"/>
      <c r="L99" s="6">
        <v>25000</v>
      </c>
      <c r="M99" s="59"/>
      <c r="N99" s="24"/>
      <c r="O99" s="23"/>
      <c r="P99" s="56"/>
      <c r="Q99" s="24"/>
      <c r="R99" s="23"/>
      <c r="S99" s="56"/>
      <c r="T99" s="56"/>
      <c r="U99" s="24"/>
    </row>
    <row r="100" spans="1:21" x14ac:dyDescent="0.2">
      <c r="A100" s="16" t="s">
        <v>17</v>
      </c>
      <c r="B100" s="23"/>
      <c r="C100" s="23"/>
      <c r="D100" s="23"/>
      <c r="E100" s="23"/>
      <c r="F100" s="23"/>
      <c r="G100" s="6"/>
      <c r="H100" s="6">
        <v>51000</v>
      </c>
      <c r="I100" s="59"/>
      <c r="J100" s="24"/>
      <c r="K100" s="23"/>
      <c r="L100" s="6"/>
      <c r="M100" s="59"/>
      <c r="N100" s="24"/>
      <c r="O100" s="23"/>
      <c r="P100" s="56"/>
      <c r="Q100" s="24"/>
      <c r="R100" s="23"/>
      <c r="S100" s="56"/>
      <c r="T100" s="56"/>
      <c r="U100" s="24"/>
    </row>
    <row r="101" spans="1:21" ht="38.25" x14ac:dyDescent="0.2">
      <c r="A101" s="16" t="s">
        <v>34</v>
      </c>
      <c r="B101" s="23"/>
      <c r="C101" s="23"/>
      <c r="D101" s="23"/>
      <c r="E101" s="23"/>
      <c r="F101" s="23"/>
      <c r="G101" s="6"/>
      <c r="H101" s="6">
        <v>38000</v>
      </c>
      <c r="I101" s="59"/>
      <c r="J101" s="24"/>
      <c r="K101" s="23"/>
      <c r="L101" s="6"/>
      <c r="M101" s="59"/>
      <c r="N101" s="24"/>
      <c r="O101" s="23"/>
      <c r="P101" s="56"/>
      <c r="Q101" s="24"/>
      <c r="R101" s="23"/>
      <c r="S101" s="56"/>
      <c r="T101" s="56"/>
      <c r="U101" s="24"/>
    </row>
    <row r="102" spans="1:21" x14ac:dyDescent="0.2">
      <c r="A102" s="16" t="s">
        <v>18</v>
      </c>
      <c r="B102" s="23"/>
      <c r="C102" s="23"/>
      <c r="D102" s="23"/>
      <c r="E102" s="23"/>
      <c r="F102" s="23"/>
      <c r="G102" s="6"/>
      <c r="H102" s="6">
        <v>15000</v>
      </c>
      <c r="I102" s="59"/>
      <c r="J102" s="24"/>
      <c r="K102" s="47"/>
      <c r="L102" s="6">
        <v>15000</v>
      </c>
      <c r="M102" s="59"/>
      <c r="N102" s="24"/>
      <c r="O102" s="23"/>
      <c r="P102" s="56"/>
      <c r="Q102" s="24"/>
      <c r="R102" s="23"/>
      <c r="S102" s="56"/>
      <c r="T102" s="56"/>
      <c r="U102" s="24"/>
    </row>
    <row r="103" spans="1:21" s="8" customFormat="1" x14ac:dyDescent="0.2">
      <c r="A103" s="17" t="s">
        <v>28</v>
      </c>
      <c r="B103" s="25">
        <f t="shared" ref="B103:R103" si="3">SUM(B63:B102)</f>
        <v>0</v>
      </c>
      <c r="C103" s="25">
        <f t="shared" si="3"/>
        <v>0</v>
      </c>
      <c r="D103" s="25">
        <f t="shared" si="3"/>
        <v>11784.489999999998</v>
      </c>
      <c r="E103" s="25">
        <f t="shared" si="3"/>
        <v>26992.61</v>
      </c>
      <c r="F103" s="25">
        <f t="shared" si="3"/>
        <v>162175.28</v>
      </c>
      <c r="G103" s="1">
        <f t="shared" si="3"/>
        <v>28048</v>
      </c>
      <c r="H103" s="1">
        <f t="shared" si="3"/>
        <v>370859</v>
      </c>
      <c r="I103" s="60">
        <f t="shared" si="3"/>
        <v>55912.67</v>
      </c>
      <c r="J103" s="63">
        <f t="shared" si="3"/>
        <v>60131.67</v>
      </c>
      <c r="K103" s="25">
        <f t="shared" si="3"/>
        <v>0</v>
      </c>
      <c r="L103" s="1">
        <f>SUM(L63:L102)</f>
        <v>215067</v>
      </c>
      <c r="M103" s="1">
        <f t="shared" ref="M103:N103" si="4">SUM(M63:M102)</f>
        <v>101630</v>
      </c>
      <c r="N103" s="1">
        <f t="shared" si="4"/>
        <v>22500</v>
      </c>
      <c r="O103" s="25">
        <f t="shared" si="3"/>
        <v>13500</v>
      </c>
      <c r="P103" s="15">
        <f t="shared" si="3"/>
        <v>26600</v>
      </c>
      <c r="Q103" s="26">
        <f t="shared" si="3"/>
        <v>112030</v>
      </c>
      <c r="R103" s="25">
        <f t="shared" si="3"/>
        <v>0</v>
      </c>
      <c r="S103" s="15"/>
      <c r="T103" s="15">
        <f>SUM(T63:T102)</f>
        <v>0</v>
      </c>
      <c r="U103" s="26">
        <f>SUM(U63:U102)</f>
        <v>0</v>
      </c>
    </row>
    <row r="104" spans="1:21" s="37" customFormat="1" x14ac:dyDescent="0.2">
      <c r="A104" s="40" t="s">
        <v>91</v>
      </c>
      <c r="B104" s="43"/>
      <c r="C104" s="43"/>
      <c r="D104" s="43"/>
      <c r="E104" s="43"/>
      <c r="F104" s="43"/>
      <c r="G104" s="44"/>
      <c r="H104" s="45"/>
      <c r="I104" s="58"/>
      <c r="J104" s="46"/>
      <c r="K104" s="43"/>
      <c r="L104" s="45"/>
      <c r="M104" s="58"/>
      <c r="N104" s="46"/>
      <c r="O104" s="43"/>
      <c r="P104" s="55">
        <v>64872</v>
      </c>
      <c r="Q104" s="46">
        <v>64872</v>
      </c>
      <c r="R104" s="23"/>
      <c r="S104" s="56"/>
      <c r="T104" s="56"/>
      <c r="U104" s="24"/>
    </row>
    <row r="105" spans="1:21" s="37" customFormat="1" ht="25.5" x14ac:dyDescent="0.2">
      <c r="A105" s="72" t="s">
        <v>144</v>
      </c>
      <c r="B105" s="43"/>
      <c r="C105" s="43"/>
      <c r="D105" s="43">
        <v>19688.03</v>
      </c>
      <c r="E105" s="43"/>
      <c r="F105" s="43"/>
      <c r="G105" s="44"/>
      <c r="H105" s="45"/>
      <c r="I105" s="58"/>
      <c r="J105" s="46">
        <v>19738.099999999999</v>
      </c>
      <c r="K105" s="43"/>
      <c r="L105" s="45"/>
      <c r="M105" s="58"/>
      <c r="N105" s="46"/>
      <c r="O105" s="43"/>
      <c r="P105" s="55"/>
      <c r="Q105" s="46"/>
      <c r="R105" s="23"/>
      <c r="S105" s="56"/>
      <c r="T105" s="56"/>
      <c r="U105" s="24"/>
    </row>
    <row r="106" spans="1:21" s="8" customFormat="1" ht="38.25" x14ac:dyDescent="0.2">
      <c r="A106" s="100" t="s">
        <v>161</v>
      </c>
      <c r="B106" s="43"/>
      <c r="C106" s="43"/>
      <c r="D106" s="43"/>
      <c r="E106" s="43"/>
      <c r="F106" s="43"/>
      <c r="G106" s="44"/>
      <c r="H106" s="45"/>
      <c r="I106" s="58">
        <v>100</v>
      </c>
      <c r="J106" s="46"/>
      <c r="K106" s="43"/>
      <c r="L106" s="45"/>
      <c r="M106" s="58">
        <v>55000</v>
      </c>
      <c r="N106" s="58"/>
      <c r="O106" s="43"/>
      <c r="P106" s="55">
        <v>45900</v>
      </c>
      <c r="Q106" s="46"/>
      <c r="R106" s="43"/>
      <c r="S106" s="55"/>
      <c r="T106" s="55"/>
      <c r="U106" s="46">
        <v>100000</v>
      </c>
    </row>
    <row r="107" spans="1:21" x14ac:dyDescent="0.2">
      <c r="A107" s="20" t="s">
        <v>19</v>
      </c>
      <c r="B107" s="23"/>
      <c r="C107" s="23"/>
      <c r="D107" s="23"/>
      <c r="E107" s="23"/>
      <c r="F107" s="23"/>
      <c r="G107" s="6"/>
      <c r="H107" s="7">
        <v>41000</v>
      </c>
      <c r="I107" s="62"/>
      <c r="J107" s="32"/>
      <c r="K107" s="23"/>
      <c r="L107" s="6"/>
      <c r="M107" s="59"/>
      <c r="N107" s="24"/>
      <c r="O107" s="23"/>
      <c r="P107" s="56"/>
      <c r="Q107" s="24"/>
      <c r="R107" s="23"/>
      <c r="S107" s="56"/>
      <c r="T107" s="56"/>
      <c r="U107" s="24"/>
    </row>
    <row r="108" spans="1:21" x14ac:dyDescent="0.2">
      <c r="A108" s="20" t="s">
        <v>20</v>
      </c>
      <c r="B108" s="23"/>
      <c r="C108" s="23"/>
      <c r="D108" s="23"/>
      <c r="E108" s="23"/>
      <c r="F108" s="23"/>
      <c r="G108" s="6"/>
      <c r="H108" s="6">
        <v>115000</v>
      </c>
      <c r="I108" s="59"/>
      <c r="J108" s="24"/>
      <c r="K108" s="47"/>
      <c r="L108" s="6">
        <v>69416</v>
      </c>
      <c r="M108" s="59"/>
      <c r="N108" s="24"/>
      <c r="O108" s="23"/>
      <c r="P108" s="56"/>
      <c r="Q108" s="24"/>
      <c r="R108" s="23"/>
      <c r="S108" s="56"/>
      <c r="T108" s="56"/>
      <c r="U108" s="24"/>
    </row>
    <row r="109" spans="1:21" x14ac:dyDescent="0.2">
      <c r="A109" s="20" t="s">
        <v>21</v>
      </c>
      <c r="B109" s="23"/>
      <c r="C109" s="23"/>
      <c r="D109" s="23"/>
      <c r="E109" s="23"/>
      <c r="F109" s="23"/>
      <c r="G109" s="6"/>
      <c r="H109" s="6">
        <v>3500</v>
      </c>
      <c r="I109" s="59"/>
      <c r="J109" s="24"/>
      <c r="K109" s="47"/>
      <c r="L109" s="6">
        <v>15500</v>
      </c>
      <c r="M109" s="59"/>
      <c r="N109" s="24"/>
      <c r="O109" s="23"/>
      <c r="P109" s="56"/>
      <c r="Q109" s="24"/>
      <c r="R109" s="23"/>
      <c r="S109" s="56"/>
      <c r="T109" s="56"/>
      <c r="U109" s="24"/>
    </row>
    <row r="110" spans="1:21" x14ac:dyDescent="0.2">
      <c r="A110" s="20" t="s">
        <v>22</v>
      </c>
      <c r="B110" s="23"/>
      <c r="C110" s="23"/>
      <c r="D110" s="23"/>
      <c r="E110" s="23"/>
      <c r="F110" s="23"/>
      <c r="G110" s="6"/>
      <c r="H110" s="6">
        <f>1000+2500</f>
        <v>3500</v>
      </c>
      <c r="I110" s="59"/>
      <c r="J110" s="24"/>
      <c r="K110" s="23"/>
      <c r="L110" s="6">
        <f>32500-2500</f>
        <v>30000</v>
      </c>
      <c r="M110" s="59"/>
      <c r="N110" s="24"/>
      <c r="O110" s="23"/>
      <c r="P110" s="56"/>
      <c r="Q110" s="24"/>
      <c r="R110" s="23"/>
      <c r="S110" s="56"/>
      <c r="T110" s="56"/>
      <c r="U110" s="24"/>
    </row>
    <row r="111" spans="1:21" s="8" customFormat="1" x14ac:dyDescent="0.2">
      <c r="A111" s="17" t="s">
        <v>29</v>
      </c>
      <c r="B111" s="25">
        <f t="shared" ref="B111:E111" si="5">SUM(B104:B110)</f>
        <v>0</v>
      </c>
      <c r="C111" s="25">
        <f>SUM(C104:C110)</f>
        <v>0</v>
      </c>
      <c r="D111" s="25">
        <f t="shared" si="5"/>
        <v>19688.03</v>
      </c>
      <c r="E111" s="25">
        <f t="shared" si="5"/>
        <v>0</v>
      </c>
      <c r="F111" s="25">
        <f t="shared" ref="F111:R111" si="6">SUM(F104:F110)</f>
        <v>0</v>
      </c>
      <c r="G111" s="1">
        <f t="shared" si="6"/>
        <v>0</v>
      </c>
      <c r="H111" s="1">
        <f t="shared" si="6"/>
        <v>163000</v>
      </c>
      <c r="I111" s="60">
        <f t="shared" si="6"/>
        <v>100</v>
      </c>
      <c r="J111" s="63">
        <f t="shared" si="6"/>
        <v>19738.099999999999</v>
      </c>
      <c r="K111" s="25">
        <f t="shared" si="6"/>
        <v>0</v>
      </c>
      <c r="L111" s="1">
        <f t="shared" si="6"/>
        <v>114916</v>
      </c>
      <c r="M111" s="1">
        <f t="shared" si="6"/>
        <v>55000</v>
      </c>
      <c r="N111" s="26">
        <f t="shared" si="6"/>
        <v>0</v>
      </c>
      <c r="O111" s="25">
        <f t="shared" si="6"/>
        <v>0</v>
      </c>
      <c r="P111" s="15">
        <f t="shared" si="6"/>
        <v>110772</v>
      </c>
      <c r="Q111" s="26">
        <f t="shared" si="6"/>
        <v>64872</v>
      </c>
      <c r="R111" s="25">
        <f t="shared" si="6"/>
        <v>0</v>
      </c>
      <c r="S111" s="15"/>
      <c r="T111" s="15">
        <f>SUM(T104:T110)</f>
        <v>0</v>
      </c>
      <c r="U111" s="26">
        <f>SUM(U104:U110)</f>
        <v>100000</v>
      </c>
    </row>
    <row r="112" spans="1:21" s="37" customFormat="1" x14ac:dyDescent="0.2">
      <c r="A112" s="41" t="s">
        <v>109</v>
      </c>
      <c r="B112" s="43"/>
      <c r="C112" s="43"/>
      <c r="D112" s="43"/>
      <c r="E112" s="43"/>
      <c r="F112" s="43"/>
      <c r="G112" s="44">
        <v>4043</v>
      </c>
      <c r="H112" s="45"/>
      <c r="I112" s="58"/>
      <c r="J112" s="46"/>
      <c r="K112" s="43"/>
      <c r="L112" s="45"/>
      <c r="M112" s="58"/>
      <c r="N112" s="46"/>
      <c r="O112" s="43"/>
      <c r="P112" s="55"/>
      <c r="Q112" s="46"/>
      <c r="R112" s="43"/>
      <c r="S112" s="55"/>
      <c r="T112" s="55"/>
      <c r="U112" s="46"/>
    </row>
    <row r="113" spans="1:21" s="37" customFormat="1" x14ac:dyDescent="0.2">
      <c r="A113" s="41" t="s">
        <v>110</v>
      </c>
      <c r="B113" s="43"/>
      <c r="C113" s="43"/>
      <c r="D113" s="43">
        <v>205.7</v>
      </c>
      <c r="E113" s="43"/>
      <c r="F113" s="43"/>
      <c r="G113" s="44"/>
      <c r="H113" s="45"/>
      <c r="I113" s="58">
        <f>13000+106.48</f>
        <v>13106.48</v>
      </c>
      <c r="J113" s="46">
        <v>9000</v>
      </c>
      <c r="K113" s="43"/>
      <c r="L113" s="45"/>
      <c r="M113" s="58">
        <v>30000</v>
      </c>
      <c r="N113" s="46">
        <v>27200</v>
      </c>
      <c r="O113" s="43"/>
      <c r="P113" s="55">
        <v>2276</v>
      </c>
      <c r="Q113" s="46">
        <v>9076</v>
      </c>
      <c r="R113" s="43"/>
      <c r="S113" s="55"/>
      <c r="T113" s="55"/>
      <c r="U113" s="46"/>
    </row>
    <row r="114" spans="1:21" s="8" customFormat="1" x14ac:dyDescent="0.2">
      <c r="A114" s="17" t="s">
        <v>32</v>
      </c>
      <c r="B114" s="25">
        <f t="shared" ref="B114:E114" si="7">SUM(B112:B113)</f>
        <v>0</v>
      </c>
      <c r="C114" s="25">
        <f t="shared" si="7"/>
        <v>0</v>
      </c>
      <c r="D114" s="25">
        <f t="shared" si="7"/>
        <v>205.7</v>
      </c>
      <c r="E114" s="25">
        <f t="shared" si="7"/>
        <v>0</v>
      </c>
      <c r="F114" s="25">
        <f t="shared" ref="F114:R114" si="8">SUM(F112:F113)</f>
        <v>0</v>
      </c>
      <c r="G114" s="1">
        <f t="shared" si="8"/>
        <v>4043</v>
      </c>
      <c r="H114" s="1">
        <f t="shared" si="8"/>
        <v>0</v>
      </c>
      <c r="I114" s="60">
        <f t="shared" si="8"/>
        <v>13106.48</v>
      </c>
      <c r="J114" s="63">
        <f t="shared" si="8"/>
        <v>9000</v>
      </c>
      <c r="K114" s="25">
        <f t="shared" si="8"/>
        <v>0</v>
      </c>
      <c r="L114" s="1">
        <f t="shared" si="8"/>
        <v>0</v>
      </c>
      <c r="M114" s="1">
        <f t="shared" si="8"/>
        <v>30000</v>
      </c>
      <c r="N114" s="26">
        <f t="shared" si="8"/>
        <v>27200</v>
      </c>
      <c r="O114" s="25">
        <f t="shared" si="8"/>
        <v>0</v>
      </c>
      <c r="P114" s="15">
        <f t="shared" si="8"/>
        <v>2276</v>
      </c>
      <c r="Q114" s="26">
        <f t="shared" si="8"/>
        <v>9076</v>
      </c>
      <c r="R114" s="25">
        <f t="shared" si="8"/>
        <v>0</v>
      </c>
      <c r="S114" s="15"/>
      <c r="T114" s="15">
        <f>SUM(T112:T113)</f>
        <v>0</v>
      </c>
      <c r="U114" s="26">
        <f>SUM(U112:U113)</f>
        <v>0</v>
      </c>
    </row>
    <row r="115" spans="1:21" s="37" customFormat="1" x14ac:dyDescent="0.2">
      <c r="A115" s="42" t="s">
        <v>98</v>
      </c>
      <c r="B115" s="43"/>
      <c r="C115" s="43"/>
      <c r="D115" s="43"/>
      <c r="E115" s="43"/>
      <c r="F115" s="43"/>
      <c r="G115" s="44"/>
      <c r="H115" s="45"/>
      <c r="I115" s="58"/>
      <c r="J115" s="46"/>
      <c r="K115" s="43"/>
      <c r="L115" s="45"/>
      <c r="M115" s="58">
        <v>69500</v>
      </c>
      <c r="N115" s="46">
        <v>69500</v>
      </c>
      <c r="O115" s="43"/>
      <c r="P115" s="55"/>
      <c r="Q115" s="46"/>
      <c r="R115" s="43"/>
      <c r="S115" s="55"/>
      <c r="T115" s="55"/>
      <c r="U115" s="46"/>
    </row>
    <row r="116" spans="1:21" s="37" customFormat="1" ht="25.5" x14ac:dyDescent="0.2">
      <c r="A116" s="42" t="s">
        <v>99</v>
      </c>
      <c r="B116" s="43"/>
      <c r="C116" s="43"/>
      <c r="D116" s="43"/>
      <c r="E116" s="43"/>
      <c r="F116" s="43"/>
      <c r="G116" s="44"/>
      <c r="H116" s="45"/>
      <c r="I116" s="58"/>
      <c r="J116" s="46"/>
      <c r="K116" s="43"/>
      <c r="L116" s="45"/>
      <c r="M116" s="58">
        <v>14784</v>
      </c>
      <c r="N116" s="46"/>
      <c r="O116" s="43"/>
      <c r="P116" s="55"/>
      <c r="Q116" s="46">
        <v>14784</v>
      </c>
      <c r="R116" s="43"/>
      <c r="S116" s="55"/>
      <c r="T116" s="55"/>
      <c r="U116" s="46"/>
    </row>
    <row r="117" spans="1:21" s="37" customFormat="1" x14ac:dyDescent="0.2">
      <c r="A117" s="42" t="s">
        <v>100</v>
      </c>
      <c r="B117" s="43"/>
      <c r="C117" s="43"/>
      <c r="D117" s="43"/>
      <c r="E117" s="43"/>
      <c r="F117" s="43"/>
      <c r="G117" s="44"/>
      <c r="H117" s="45"/>
      <c r="I117" s="58"/>
      <c r="J117" s="46"/>
      <c r="K117" s="43"/>
      <c r="L117" s="45"/>
      <c r="M117" s="58">
        <v>88500</v>
      </c>
      <c r="N117" s="46">
        <v>88500</v>
      </c>
      <c r="O117" s="43"/>
      <c r="P117" s="55"/>
      <c r="Q117" s="46"/>
      <c r="R117" s="43"/>
      <c r="S117" s="55"/>
      <c r="T117" s="55"/>
      <c r="U117" s="46"/>
    </row>
    <row r="118" spans="1:21" x14ac:dyDescent="0.2">
      <c r="A118" s="40" t="s">
        <v>92</v>
      </c>
      <c r="B118" s="23"/>
      <c r="C118" s="23"/>
      <c r="D118" s="23"/>
      <c r="E118" s="23"/>
      <c r="F118" s="23"/>
      <c r="G118" s="6"/>
      <c r="H118" s="6"/>
      <c r="I118" s="59"/>
      <c r="J118" s="24"/>
      <c r="K118" s="23"/>
      <c r="L118" s="6"/>
      <c r="M118" s="59"/>
      <c r="N118" s="24"/>
      <c r="O118" s="23"/>
      <c r="P118" s="56">
        <v>141437</v>
      </c>
      <c r="Q118" s="24">
        <v>141437</v>
      </c>
      <c r="R118" s="23"/>
      <c r="S118" s="56"/>
      <c r="T118" s="56"/>
      <c r="U118" s="24"/>
    </row>
    <row r="119" spans="1:21" s="8" customFormat="1" x14ac:dyDescent="0.2">
      <c r="A119" s="17" t="s">
        <v>93</v>
      </c>
      <c r="B119" s="25">
        <f t="shared" ref="B119:E119" si="9">SUM(B115:B118)</f>
        <v>0</v>
      </c>
      <c r="C119" s="25">
        <f t="shared" si="9"/>
        <v>0</v>
      </c>
      <c r="D119" s="25">
        <f t="shared" si="9"/>
        <v>0</v>
      </c>
      <c r="E119" s="25">
        <f t="shared" si="9"/>
        <v>0</v>
      </c>
      <c r="F119" s="25">
        <f t="shared" ref="F119:R119" si="10">SUM(F115:F118)</f>
        <v>0</v>
      </c>
      <c r="G119" s="1">
        <f t="shared" si="10"/>
        <v>0</v>
      </c>
      <c r="H119" s="1">
        <f t="shared" si="10"/>
        <v>0</v>
      </c>
      <c r="I119" s="60">
        <f t="shared" si="10"/>
        <v>0</v>
      </c>
      <c r="J119" s="63">
        <f t="shared" si="10"/>
        <v>0</v>
      </c>
      <c r="K119" s="25">
        <f t="shared" si="10"/>
        <v>0</v>
      </c>
      <c r="L119" s="1">
        <f t="shared" si="10"/>
        <v>0</v>
      </c>
      <c r="M119" s="1">
        <f t="shared" si="10"/>
        <v>172784</v>
      </c>
      <c r="N119" s="26">
        <f t="shared" si="10"/>
        <v>158000</v>
      </c>
      <c r="O119" s="25">
        <f t="shared" si="10"/>
        <v>0</v>
      </c>
      <c r="P119" s="15">
        <f t="shared" si="10"/>
        <v>141437</v>
      </c>
      <c r="Q119" s="26">
        <f t="shared" si="10"/>
        <v>156221</v>
      </c>
      <c r="R119" s="25">
        <f t="shared" si="10"/>
        <v>0</v>
      </c>
      <c r="S119" s="15"/>
      <c r="T119" s="15">
        <f>SUM(T115:T118)</f>
        <v>0</v>
      </c>
      <c r="U119" s="26">
        <f>SUM(U115:U118)</f>
        <v>0</v>
      </c>
    </row>
    <row r="120" spans="1:21" s="37" customFormat="1" x14ac:dyDescent="0.2">
      <c r="A120" s="41" t="s">
        <v>111</v>
      </c>
      <c r="B120" s="43"/>
      <c r="C120" s="43"/>
      <c r="D120" s="43"/>
      <c r="E120" s="43"/>
      <c r="F120" s="43"/>
      <c r="G120" s="44"/>
      <c r="H120" s="45"/>
      <c r="I120" s="58"/>
      <c r="J120" s="46"/>
      <c r="K120" s="43"/>
      <c r="L120" s="89">
        <v>15000</v>
      </c>
      <c r="M120" s="58">
        <v>84500</v>
      </c>
      <c r="N120" s="46"/>
      <c r="O120" s="90">
        <v>20915</v>
      </c>
      <c r="P120" s="55">
        <v>113500</v>
      </c>
      <c r="Q120" s="46">
        <v>198000</v>
      </c>
      <c r="R120" s="43"/>
      <c r="S120" s="55"/>
      <c r="T120" s="55"/>
      <c r="U120" s="46"/>
    </row>
    <row r="121" spans="1:21" s="8" customFormat="1" x14ac:dyDescent="0.2">
      <c r="A121" s="17" t="s">
        <v>112</v>
      </c>
      <c r="B121" s="1">
        <f t="shared" ref="B121:F121" si="11">SUBTOTAL(9,B120)</f>
        <v>0</v>
      </c>
      <c r="C121" s="1">
        <f t="shared" si="11"/>
        <v>0</v>
      </c>
      <c r="D121" s="1">
        <f t="shared" si="11"/>
        <v>0</v>
      </c>
      <c r="E121" s="1">
        <f t="shared" si="11"/>
        <v>0</v>
      </c>
      <c r="F121" s="1">
        <f t="shared" si="11"/>
        <v>0</v>
      </c>
      <c r="G121" s="1">
        <f t="shared" ref="G121:U121" si="12">SUBTOTAL(9,G120)</f>
        <v>0</v>
      </c>
      <c r="H121" s="1">
        <f t="shared" si="12"/>
        <v>0</v>
      </c>
      <c r="I121" s="60">
        <f t="shared" si="12"/>
        <v>0</v>
      </c>
      <c r="J121" s="63">
        <f t="shared" ref="J121" si="13">SUBTOTAL(9,J120)</f>
        <v>0</v>
      </c>
      <c r="K121" s="25">
        <f t="shared" si="12"/>
        <v>0</v>
      </c>
      <c r="L121" s="1">
        <f t="shared" si="12"/>
        <v>15000</v>
      </c>
      <c r="M121" s="1">
        <f t="shared" si="12"/>
        <v>84500</v>
      </c>
      <c r="N121" s="26">
        <f t="shared" si="12"/>
        <v>0</v>
      </c>
      <c r="O121" s="25">
        <f t="shared" si="12"/>
        <v>20915</v>
      </c>
      <c r="P121" s="15">
        <f>SUM(P120)</f>
        <v>113500</v>
      </c>
      <c r="Q121" s="26">
        <f t="shared" si="12"/>
        <v>198000</v>
      </c>
      <c r="R121" s="25">
        <f t="shared" si="12"/>
        <v>0</v>
      </c>
      <c r="S121" s="15"/>
      <c r="T121" s="15">
        <f>SUM(T120)</f>
        <v>0</v>
      </c>
      <c r="U121" s="26">
        <f t="shared" si="12"/>
        <v>0</v>
      </c>
    </row>
    <row r="122" spans="1:21" s="8" customFormat="1" ht="18.75" customHeight="1" x14ac:dyDescent="0.2">
      <c r="A122" s="73"/>
      <c r="B122" s="74">
        <f t="shared" ref="B122:R122" si="14">B121+B119+B114+B111+B103+B62+B49+B34</f>
        <v>0</v>
      </c>
      <c r="C122" s="74">
        <f t="shared" si="14"/>
        <v>0</v>
      </c>
      <c r="D122" s="74">
        <f t="shared" si="14"/>
        <v>312288.5</v>
      </c>
      <c r="E122" s="74">
        <f t="shared" si="14"/>
        <v>331976.3</v>
      </c>
      <c r="F122" s="74">
        <f t="shared" si="14"/>
        <v>199479.2</v>
      </c>
      <c r="G122" s="74">
        <f t="shared" si="14"/>
        <v>250000</v>
      </c>
      <c r="H122" s="74">
        <f t="shared" si="14"/>
        <v>973010</v>
      </c>
      <c r="I122" s="74">
        <f t="shared" si="14"/>
        <v>707254.27</v>
      </c>
      <c r="J122" s="74">
        <f t="shared" si="14"/>
        <v>649792.14999999991</v>
      </c>
      <c r="K122" s="74">
        <f t="shared" si="14"/>
        <v>0</v>
      </c>
      <c r="L122" s="74">
        <f t="shared" si="14"/>
        <v>965899</v>
      </c>
      <c r="M122" s="74">
        <f t="shared" si="14"/>
        <v>886394.58</v>
      </c>
      <c r="N122" s="74">
        <f t="shared" si="14"/>
        <v>603814.99</v>
      </c>
      <c r="O122" s="74">
        <f t="shared" si="14"/>
        <v>262305</v>
      </c>
      <c r="P122" s="74">
        <f t="shared" si="14"/>
        <v>874250</v>
      </c>
      <c r="Q122" s="74">
        <f t="shared" si="14"/>
        <v>1426001</v>
      </c>
      <c r="R122" s="74">
        <f t="shared" si="14"/>
        <v>667334</v>
      </c>
      <c r="S122" s="75">
        <v>250000</v>
      </c>
      <c r="T122" s="74">
        <f>T121+T119+T114+T111+T103+T62+T49+T34</f>
        <v>0</v>
      </c>
      <c r="U122" s="74">
        <f>U121+U119+U114+U111+U103+U62+U49+U34</f>
        <v>225615</v>
      </c>
    </row>
    <row r="123" spans="1:21" s="8" customFormat="1" x14ac:dyDescent="0.2">
      <c r="A123" s="2"/>
      <c r="B123" s="29"/>
      <c r="C123" s="29"/>
      <c r="D123" s="29"/>
      <c r="E123" s="29"/>
      <c r="F123" s="29"/>
      <c r="G123" s="3"/>
      <c r="H123" s="3"/>
      <c r="I123" s="3"/>
      <c r="J123" s="64"/>
      <c r="K123" s="29"/>
      <c r="L123" s="3"/>
      <c r="M123" s="3"/>
      <c r="N123" s="30"/>
      <c r="O123" s="29"/>
      <c r="P123" s="3"/>
      <c r="Q123" s="30"/>
      <c r="R123" s="29"/>
      <c r="S123" s="3"/>
      <c r="T123" s="3"/>
      <c r="U123" s="30"/>
    </row>
    <row r="124" spans="1:21" s="8" customFormat="1" ht="38.25" x14ac:dyDescent="0.2">
      <c r="A124" s="51" t="s">
        <v>137</v>
      </c>
      <c r="B124" s="66"/>
      <c r="C124" s="66"/>
      <c r="D124" s="66"/>
      <c r="E124" s="66"/>
      <c r="F124" s="66"/>
      <c r="G124" s="67"/>
      <c r="H124" s="67"/>
      <c r="I124" s="68"/>
      <c r="J124" s="69"/>
      <c r="K124" s="66"/>
      <c r="L124" s="67"/>
      <c r="M124" s="68"/>
      <c r="N124" s="69"/>
      <c r="O124" s="66"/>
      <c r="P124" s="70"/>
      <c r="Q124" s="69"/>
      <c r="R124" s="66"/>
      <c r="S124" s="70"/>
      <c r="T124" s="70"/>
      <c r="U124" s="69"/>
    </row>
    <row r="125" spans="1:21" s="8" customFormat="1" ht="38.25" x14ac:dyDescent="0.2">
      <c r="A125" s="52" t="s">
        <v>117</v>
      </c>
      <c r="B125" s="43"/>
      <c r="C125" s="43"/>
      <c r="D125" s="43">
        <v>4200.32</v>
      </c>
      <c r="E125" s="43">
        <v>0</v>
      </c>
      <c r="F125" s="43"/>
      <c r="G125" s="44"/>
      <c r="H125" s="45"/>
      <c r="I125" s="58"/>
      <c r="J125" s="46">
        <v>4246</v>
      </c>
      <c r="K125" s="43"/>
      <c r="L125" s="45"/>
      <c r="M125" s="58"/>
      <c r="N125" s="46"/>
      <c r="O125" s="43"/>
      <c r="P125" s="55"/>
      <c r="Q125" s="46"/>
      <c r="R125" s="43"/>
      <c r="S125" s="55"/>
      <c r="T125" s="55"/>
      <c r="U125" s="46"/>
    </row>
    <row r="126" spans="1:21" s="8" customFormat="1" ht="25.5" x14ac:dyDescent="0.2">
      <c r="A126" s="52" t="s">
        <v>118</v>
      </c>
      <c r="B126" s="43"/>
      <c r="C126" s="43"/>
      <c r="D126" s="43">
        <v>12485.01</v>
      </c>
      <c r="E126" s="43"/>
      <c r="F126" s="43"/>
      <c r="G126" s="44"/>
      <c r="H126" s="45"/>
      <c r="I126" s="58">
        <v>1198.5</v>
      </c>
      <c r="J126" s="46">
        <v>13683.76</v>
      </c>
      <c r="K126" s="43"/>
      <c r="L126" s="45"/>
      <c r="M126" s="58"/>
      <c r="N126" s="46"/>
      <c r="O126" s="43"/>
      <c r="P126" s="55"/>
      <c r="Q126" s="46"/>
      <c r="R126" s="43"/>
      <c r="S126" s="55"/>
      <c r="T126" s="55"/>
      <c r="U126" s="46"/>
    </row>
    <row r="127" spans="1:21" s="8" customFormat="1" ht="25.5" x14ac:dyDescent="0.2">
      <c r="A127" s="52" t="s">
        <v>119</v>
      </c>
      <c r="B127" s="43"/>
      <c r="C127" s="43"/>
      <c r="D127" s="43">
        <v>731.76</v>
      </c>
      <c r="E127" s="43"/>
      <c r="F127" s="43"/>
      <c r="G127" s="44"/>
      <c r="H127" s="45"/>
      <c r="I127" s="58">
        <v>11.66</v>
      </c>
      <c r="J127" s="46"/>
      <c r="K127" s="43"/>
      <c r="L127" s="45"/>
      <c r="M127" s="58"/>
      <c r="N127" s="46">
        <v>743.42</v>
      </c>
      <c r="O127" s="43"/>
      <c r="P127" s="55"/>
      <c r="Q127" s="46"/>
      <c r="R127" s="43"/>
      <c r="S127" s="55"/>
      <c r="T127" s="55"/>
      <c r="U127" s="46"/>
    </row>
    <row r="128" spans="1:21" s="8" customFormat="1" ht="25.5" x14ac:dyDescent="0.2">
      <c r="A128" s="53" t="s">
        <v>120</v>
      </c>
      <c r="B128" s="43"/>
      <c r="C128" s="43"/>
      <c r="D128" s="43">
        <v>40663.625010000003</v>
      </c>
      <c r="E128" s="43"/>
      <c r="F128" s="43"/>
      <c r="G128" s="44"/>
      <c r="H128" s="45"/>
      <c r="I128" s="58">
        <v>5605.38</v>
      </c>
      <c r="J128" s="46">
        <v>46269</v>
      </c>
      <c r="K128" s="43"/>
      <c r="L128" s="45"/>
      <c r="M128" s="58"/>
      <c r="N128" s="46"/>
      <c r="O128" s="43"/>
      <c r="P128" s="55"/>
      <c r="Q128" s="46"/>
      <c r="R128" s="43"/>
      <c r="S128" s="55"/>
      <c r="T128" s="55"/>
      <c r="U128" s="46"/>
    </row>
    <row r="129" spans="1:21" s="8" customFormat="1" ht="25.5" x14ac:dyDescent="0.2">
      <c r="A129" s="53" t="s">
        <v>121</v>
      </c>
      <c r="B129" s="43"/>
      <c r="C129" s="43"/>
      <c r="D129" s="43">
        <v>0</v>
      </c>
      <c r="E129" s="43"/>
      <c r="F129" s="43"/>
      <c r="G129" s="44"/>
      <c r="H129" s="45"/>
      <c r="I129" s="58">
        <f>29294+22500</f>
        <v>51794</v>
      </c>
      <c r="J129" s="46"/>
      <c r="K129" s="43"/>
      <c r="L129" s="45"/>
      <c r="M129" s="58"/>
      <c r="N129" s="46">
        <v>51794</v>
      </c>
      <c r="O129" s="43"/>
      <c r="P129" s="55"/>
      <c r="Q129" s="46"/>
      <c r="R129" s="43"/>
      <c r="S129" s="55"/>
      <c r="T129" s="55"/>
      <c r="U129" s="46"/>
    </row>
    <row r="130" spans="1:21" s="8" customFormat="1" ht="25.5" x14ac:dyDescent="0.2">
      <c r="A130" s="53" t="s">
        <v>122</v>
      </c>
      <c r="B130" s="43"/>
      <c r="C130" s="43"/>
      <c r="D130" s="43"/>
      <c r="E130" s="43"/>
      <c r="F130" s="43"/>
      <c r="G130" s="44"/>
      <c r="H130" s="45"/>
      <c r="I130" s="58"/>
      <c r="J130" s="46"/>
      <c r="K130" s="43"/>
      <c r="L130" s="45"/>
      <c r="M130" s="58"/>
      <c r="N130" s="46"/>
      <c r="O130" s="43"/>
      <c r="P130" s="55"/>
      <c r="Q130" s="46"/>
      <c r="R130" s="43"/>
      <c r="S130" s="55"/>
      <c r="T130" s="55"/>
      <c r="U130" s="46"/>
    </row>
    <row r="131" spans="1:21" s="8" customFormat="1" ht="25.5" x14ac:dyDescent="0.2">
      <c r="A131" s="53" t="s">
        <v>123</v>
      </c>
      <c r="B131" s="43"/>
      <c r="C131" s="43"/>
      <c r="D131" s="43"/>
      <c r="E131" s="43"/>
      <c r="F131" s="43"/>
      <c r="G131" s="44"/>
      <c r="H131" s="45"/>
      <c r="I131" s="58"/>
      <c r="J131" s="46"/>
      <c r="K131" s="43"/>
      <c r="L131" s="45"/>
      <c r="M131" s="58"/>
      <c r="N131" s="46"/>
      <c r="O131" s="43"/>
      <c r="P131" s="55"/>
      <c r="Q131" s="46"/>
      <c r="R131" s="43"/>
      <c r="S131" s="55"/>
      <c r="T131" s="55"/>
      <c r="U131" s="46"/>
    </row>
    <row r="132" spans="1:21" s="8" customFormat="1" ht="25.5" x14ac:dyDescent="0.2">
      <c r="A132" s="53" t="s">
        <v>124</v>
      </c>
      <c r="B132" s="43"/>
      <c r="C132" s="43"/>
      <c r="D132" s="43"/>
      <c r="E132" s="43"/>
      <c r="F132" s="43"/>
      <c r="G132" s="44"/>
      <c r="H132" s="45"/>
      <c r="I132" s="58"/>
      <c r="J132" s="46"/>
      <c r="K132" s="43"/>
      <c r="L132" s="45"/>
      <c r="M132" s="58"/>
      <c r="N132" s="46"/>
      <c r="O132" s="43"/>
      <c r="P132" s="55"/>
      <c r="Q132" s="46"/>
      <c r="R132" s="43"/>
      <c r="S132" s="55"/>
      <c r="T132" s="55"/>
      <c r="U132" s="46"/>
    </row>
    <row r="133" spans="1:21" s="8" customFormat="1" ht="25.5" x14ac:dyDescent="0.2">
      <c r="A133" s="53" t="s">
        <v>125</v>
      </c>
      <c r="B133" s="43"/>
      <c r="C133" s="43"/>
      <c r="D133" s="43"/>
      <c r="E133" s="43"/>
      <c r="F133" s="43"/>
      <c r="G133" s="44"/>
      <c r="H133" s="45"/>
      <c r="I133" s="58"/>
      <c r="J133" s="46"/>
      <c r="K133" s="43"/>
      <c r="L133" s="45"/>
      <c r="M133" s="58"/>
      <c r="N133" s="46"/>
      <c r="O133" s="43"/>
      <c r="P133" s="55"/>
      <c r="Q133" s="46"/>
      <c r="R133" s="43"/>
      <c r="S133" s="55"/>
      <c r="T133" s="55"/>
      <c r="U133" s="46"/>
    </row>
    <row r="134" spans="1:21" s="8" customFormat="1" ht="25.5" x14ac:dyDescent="0.2">
      <c r="A134" s="53" t="s">
        <v>126</v>
      </c>
      <c r="B134" s="43"/>
      <c r="C134" s="43"/>
      <c r="D134" s="43"/>
      <c r="E134" s="43"/>
      <c r="F134" s="43"/>
      <c r="G134" s="44"/>
      <c r="H134" s="45"/>
      <c r="I134" s="58"/>
      <c r="J134" s="46"/>
      <c r="K134" s="43"/>
      <c r="L134" s="45"/>
      <c r="M134" s="58"/>
      <c r="N134" s="46"/>
      <c r="O134" s="43"/>
      <c r="P134" s="55"/>
      <c r="Q134" s="46"/>
      <c r="R134" s="43"/>
      <c r="S134" s="55"/>
      <c r="T134" s="55"/>
      <c r="U134" s="46"/>
    </row>
    <row r="135" spans="1:21" s="8" customFormat="1" ht="38.25" x14ac:dyDescent="0.2">
      <c r="A135" s="53" t="s">
        <v>127</v>
      </c>
      <c r="B135" s="43"/>
      <c r="C135" s="43"/>
      <c r="D135" s="43"/>
      <c r="E135" s="43"/>
      <c r="F135" s="43"/>
      <c r="G135" s="44"/>
      <c r="H135" s="45"/>
      <c r="I135" s="58"/>
      <c r="J135" s="46"/>
      <c r="K135" s="43"/>
      <c r="L135" s="45"/>
      <c r="M135" s="58"/>
      <c r="N135" s="46"/>
      <c r="O135" s="43"/>
      <c r="P135" s="55"/>
      <c r="Q135" s="46"/>
      <c r="R135" s="43"/>
      <c r="S135" s="55"/>
      <c r="T135" s="55"/>
      <c r="U135" s="46"/>
    </row>
    <row r="136" spans="1:21" s="8" customFormat="1" ht="25.5" x14ac:dyDescent="0.2">
      <c r="A136" s="54" t="s">
        <v>128</v>
      </c>
      <c r="B136" s="43"/>
      <c r="C136" s="43"/>
      <c r="D136" s="43"/>
      <c r="E136" s="43"/>
      <c r="F136" s="43"/>
      <c r="G136" s="44"/>
      <c r="H136" s="45"/>
      <c r="I136" s="58"/>
      <c r="J136" s="46"/>
      <c r="K136" s="43"/>
      <c r="L136" s="45"/>
      <c r="M136" s="58"/>
      <c r="N136" s="46"/>
      <c r="O136" s="43"/>
      <c r="P136" s="55"/>
      <c r="Q136" s="46"/>
      <c r="R136" s="43"/>
      <c r="S136" s="55"/>
      <c r="T136" s="55"/>
      <c r="U136" s="46"/>
    </row>
    <row r="137" spans="1:21" s="8" customFormat="1" x14ac:dyDescent="0.2">
      <c r="A137" s="50" t="s">
        <v>129</v>
      </c>
      <c r="B137" s="43"/>
      <c r="C137" s="43"/>
      <c r="D137" s="43">
        <v>0</v>
      </c>
      <c r="E137" s="43"/>
      <c r="F137" s="43"/>
      <c r="G137" s="44"/>
      <c r="H137" s="45"/>
      <c r="I137" s="58"/>
      <c r="J137" s="46"/>
      <c r="K137" s="43"/>
      <c r="L137" s="45"/>
      <c r="M137" s="58"/>
      <c r="N137" s="46"/>
      <c r="O137" s="43"/>
      <c r="P137" s="55"/>
      <c r="Q137" s="46"/>
      <c r="R137" s="43"/>
      <c r="S137" s="55"/>
      <c r="T137" s="55"/>
      <c r="U137" s="46"/>
    </row>
    <row r="138" spans="1:21" s="8" customFormat="1" x14ac:dyDescent="0.2">
      <c r="A138" s="50" t="s">
        <v>130</v>
      </c>
      <c r="B138" s="43"/>
      <c r="C138" s="43"/>
      <c r="D138" s="43">
        <v>24827.701499999999</v>
      </c>
      <c r="E138" s="43">
        <v>24827.701499999999</v>
      </c>
      <c r="F138" s="43"/>
      <c r="G138" s="44"/>
      <c r="H138" s="45"/>
      <c r="I138" s="58"/>
      <c r="J138" s="46"/>
      <c r="K138" s="43"/>
      <c r="L138" s="45"/>
      <c r="M138" s="58"/>
      <c r="N138" s="46"/>
      <c r="O138" s="43"/>
      <c r="P138" s="55"/>
      <c r="Q138" s="46"/>
      <c r="R138" s="43"/>
      <c r="S138" s="55"/>
      <c r="T138" s="55"/>
      <c r="U138" s="46"/>
    </row>
    <row r="139" spans="1:21" s="8" customFormat="1" x14ac:dyDescent="0.2">
      <c r="A139" s="50" t="s">
        <v>131</v>
      </c>
      <c r="B139" s="43"/>
      <c r="C139" s="43"/>
      <c r="D139" s="43">
        <v>27000</v>
      </c>
      <c r="E139" s="43"/>
      <c r="F139" s="43"/>
      <c r="G139" s="44"/>
      <c r="H139" s="45"/>
      <c r="I139" s="58"/>
      <c r="J139" s="46">
        <v>27000</v>
      </c>
      <c r="K139" s="43"/>
      <c r="L139" s="45"/>
      <c r="M139" s="58"/>
      <c r="N139" s="46"/>
      <c r="O139" s="43"/>
      <c r="P139" s="55"/>
      <c r="Q139" s="46"/>
      <c r="R139" s="43"/>
      <c r="S139" s="55"/>
      <c r="T139" s="55"/>
      <c r="U139" s="46"/>
    </row>
    <row r="140" spans="1:21" s="8" customFormat="1" x14ac:dyDescent="0.2">
      <c r="A140" s="50" t="s">
        <v>132</v>
      </c>
      <c r="B140" s="43"/>
      <c r="C140" s="43"/>
      <c r="D140" s="43">
        <v>0</v>
      </c>
      <c r="E140" s="43">
        <v>24350.584500000001</v>
      </c>
      <c r="F140" s="43"/>
      <c r="G140" s="44"/>
      <c r="H140" s="45"/>
      <c r="I140" s="58"/>
      <c r="J140" s="46"/>
      <c r="K140" s="43"/>
      <c r="L140" s="45"/>
      <c r="M140" s="58"/>
      <c r="N140" s="46"/>
      <c r="O140" s="43"/>
      <c r="P140" s="55"/>
      <c r="Q140" s="46"/>
      <c r="R140" s="43"/>
      <c r="S140" s="55"/>
      <c r="T140" s="55"/>
      <c r="U140" s="46"/>
    </row>
    <row r="141" spans="1:21" s="8" customFormat="1" x14ac:dyDescent="0.2">
      <c r="A141" s="50" t="s">
        <v>133</v>
      </c>
      <c r="B141" s="43"/>
      <c r="C141" s="43"/>
      <c r="D141" s="43">
        <v>10219.720499999999</v>
      </c>
      <c r="E141" s="43"/>
      <c r="F141" s="43"/>
      <c r="G141" s="44"/>
      <c r="H141" s="45"/>
      <c r="I141" s="58"/>
      <c r="J141" s="46">
        <v>10351</v>
      </c>
      <c r="K141" s="43"/>
      <c r="L141" s="45"/>
      <c r="M141" s="58"/>
      <c r="N141" s="46"/>
      <c r="O141" s="43"/>
      <c r="P141" s="55"/>
      <c r="Q141" s="46"/>
      <c r="R141" s="43"/>
      <c r="S141" s="55"/>
      <c r="T141" s="55"/>
      <c r="U141" s="46"/>
    </row>
    <row r="142" spans="1:21" s="8" customFormat="1" x14ac:dyDescent="0.2">
      <c r="A142" s="50" t="s">
        <v>134</v>
      </c>
      <c r="B142" s="43"/>
      <c r="C142" s="43"/>
      <c r="D142" s="43">
        <v>0</v>
      </c>
      <c r="E142" s="43"/>
      <c r="F142" s="43"/>
      <c r="G142" s="44"/>
      <c r="H142" s="45"/>
      <c r="I142" s="58">
        <v>20169</v>
      </c>
      <c r="J142" s="46">
        <v>20169</v>
      </c>
      <c r="K142" s="43"/>
      <c r="L142" s="45"/>
      <c r="M142" s="58"/>
      <c r="N142" s="46"/>
      <c r="O142" s="43"/>
      <c r="P142" s="55"/>
      <c r="Q142" s="46"/>
      <c r="R142" s="43"/>
      <c r="S142" s="55"/>
      <c r="T142" s="55"/>
      <c r="U142" s="46"/>
    </row>
    <row r="143" spans="1:21" s="8" customFormat="1" ht="38.25" x14ac:dyDescent="0.2">
      <c r="A143" s="54" t="s">
        <v>135</v>
      </c>
      <c r="B143" s="43"/>
      <c r="C143" s="43"/>
      <c r="D143" s="43"/>
      <c r="E143" s="43"/>
      <c r="F143" s="43"/>
      <c r="G143" s="44"/>
      <c r="H143" s="45"/>
      <c r="I143" s="58"/>
      <c r="J143" s="46"/>
      <c r="K143" s="43"/>
      <c r="L143" s="45"/>
      <c r="M143" s="58"/>
      <c r="N143" s="46"/>
      <c r="O143" s="43"/>
      <c r="P143" s="55"/>
      <c r="Q143" s="46"/>
      <c r="R143" s="43"/>
      <c r="S143" s="55"/>
      <c r="T143" s="55"/>
      <c r="U143" s="46"/>
    </row>
    <row r="144" spans="1:21" s="8" customFormat="1" x14ac:dyDescent="0.2">
      <c r="A144" s="50" t="s">
        <v>130</v>
      </c>
      <c r="B144" s="43"/>
      <c r="C144" s="43"/>
      <c r="D144" s="43">
        <v>2471.8014000000003</v>
      </c>
      <c r="E144" s="43"/>
      <c r="F144" s="43"/>
      <c r="G144" s="44"/>
      <c r="H144" s="45"/>
      <c r="I144" s="58">
        <v>5194.21</v>
      </c>
      <c r="J144" s="46">
        <v>7666</v>
      </c>
      <c r="K144" s="43"/>
      <c r="L144" s="45"/>
      <c r="M144" s="58"/>
      <c r="N144" s="46"/>
      <c r="O144" s="43"/>
      <c r="P144" s="55"/>
      <c r="Q144" s="46"/>
      <c r="R144" s="43"/>
      <c r="S144" s="55"/>
      <c r="T144" s="55"/>
      <c r="U144" s="46"/>
    </row>
    <row r="145" spans="1:21" s="8" customFormat="1" x14ac:dyDescent="0.2">
      <c r="A145" s="50" t="s">
        <v>131</v>
      </c>
      <c r="B145" s="43"/>
      <c r="C145" s="43"/>
      <c r="D145" s="43">
        <v>5671.7503100000004</v>
      </c>
      <c r="E145" s="43"/>
      <c r="F145" s="43"/>
      <c r="G145" s="44"/>
      <c r="H145" s="45"/>
      <c r="I145" s="58">
        <v>5562.25</v>
      </c>
      <c r="J145" s="46">
        <v>11234</v>
      </c>
      <c r="K145" s="43"/>
      <c r="L145" s="45"/>
      <c r="M145" s="58"/>
      <c r="N145" s="46"/>
      <c r="O145" s="43"/>
      <c r="P145" s="55"/>
      <c r="Q145" s="46"/>
      <c r="R145" s="43"/>
      <c r="S145" s="55"/>
      <c r="T145" s="55"/>
      <c r="U145" s="46"/>
    </row>
    <row r="146" spans="1:21" s="8" customFormat="1" x14ac:dyDescent="0.2">
      <c r="A146" s="50" t="s">
        <v>132</v>
      </c>
      <c r="B146" s="43"/>
      <c r="C146" s="43"/>
      <c r="D146" s="43">
        <v>6694.4742200000001</v>
      </c>
      <c r="E146" s="43">
        <v>1111.8689999999999</v>
      </c>
      <c r="F146" s="43"/>
      <c r="G146" s="44"/>
      <c r="H146" s="45"/>
      <c r="I146" s="58">
        <v>3739.5</v>
      </c>
      <c r="J146" s="46">
        <v>9432</v>
      </c>
      <c r="K146" s="43"/>
      <c r="L146" s="45"/>
      <c r="M146" s="58"/>
      <c r="N146" s="46"/>
      <c r="O146" s="43"/>
      <c r="P146" s="55"/>
      <c r="Q146" s="46"/>
      <c r="R146" s="43"/>
      <c r="S146" s="55"/>
      <c r="T146" s="55"/>
      <c r="U146" s="46"/>
    </row>
    <row r="147" spans="1:21" s="8" customFormat="1" x14ac:dyDescent="0.2">
      <c r="A147" s="50" t="s">
        <v>133</v>
      </c>
      <c r="B147" s="43"/>
      <c r="C147" s="43"/>
      <c r="D147" s="43">
        <v>59.442999999999998</v>
      </c>
      <c r="E147" s="43"/>
      <c r="F147" s="43"/>
      <c r="G147" s="44"/>
      <c r="H147" s="45"/>
      <c r="I147" s="58">
        <v>8361.56</v>
      </c>
      <c r="J147" s="46">
        <v>8421</v>
      </c>
      <c r="K147" s="43"/>
      <c r="L147" s="45"/>
      <c r="M147" s="58"/>
      <c r="N147" s="46"/>
      <c r="O147" s="43"/>
      <c r="P147" s="55"/>
      <c r="Q147" s="46"/>
      <c r="R147" s="43"/>
      <c r="S147" s="55"/>
      <c r="T147" s="55"/>
      <c r="U147" s="46"/>
    </row>
    <row r="148" spans="1:21" s="8" customFormat="1" x14ac:dyDescent="0.2">
      <c r="A148" s="50" t="s">
        <v>134</v>
      </c>
      <c r="B148" s="43"/>
      <c r="C148" s="43"/>
      <c r="D148" s="43">
        <v>0</v>
      </c>
      <c r="E148" s="43"/>
      <c r="F148" s="43"/>
      <c r="G148" s="44"/>
      <c r="H148" s="45"/>
      <c r="I148" s="58">
        <v>9873</v>
      </c>
      <c r="J148" s="46">
        <v>9873</v>
      </c>
      <c r="K148" s="43"/>
      <c r="L148" s="45"/>
      <c r="M148" s="58"/>
      <c r="N148" s="46"/>
      <c r="O148" s="43"/>
      <c r="P148" s="55"/>
      <c r="Q148" s="46"/>
      <c r="R148" s="43"/>
      <c r="S148" s="55"/>
      <c r="T148" s="55"/>
      <c r="U148" s="46"/>
    </row>
    <row r="149" spans="1:21" s="8" customFormat="1" ht="25.5" x14ac:dyDescent="0.2">
      <c r="A149" s="53" t="s">
        <v>136</v>
      </c>
      <c r="B149" s="43"/>
      <c r="C149" s="43"/>
      <c r="D149" s="43">
        <v>13583.414140000001</v>
      </c>
      <c r="E149" s="43"/>
      <c r="F149" s="43"/>
      <c r="G149" s="44"/>
      <c r="H149" s="45"/>
      <c r="I149" s="96">
        <f>3516.58-3516.58</f>
        <v>0</v>
      </c>
      <c r="J149" s="97">
        <f>17100-3516.58</f>
        <v>13583.42</v>
      </c>
      <c r="K149" s="43"/>
      <c r="L149" s="45"/>
      <c r="M149" s="58"/>
      <c r="N149" s="46"/>
      <c r="O149" s="43"/>
      <c r="P149" s="55"/>
      <c r="Q149" s="46"/>
      <c r="R149" s="43"/>
      <c r="S149" s="55"/>
      <c r="T149" s="55"/>
      <c r="U149" s="46"/>
    </row>
    <row r="150" spans="1:21" s="8" customFormat="1" ht="25.5" x14ac:dyDescent="0.2">
      <c r="A150" s="100" t="s">
        <v>153</v>
      </c>
      <c r="B150" s="43"/>
      <c r="C150" s="43"/>
      <c r="D150" s="43"/>
      <c r="E150" s="43"/>
      <c r="F150" s="43"/>
      <c r="G150" s="44"/>
      <c r="H150" s="45"/>
      <c r="I150" s="96">
        <v>5053.58</v>
      </c>
      <c r="J150" s="46"/>
      <c r="K150" s="43"/>
      <c r="L150" s="45"/>
      <c r="M150" s="58"/>
      <c r="N150" s="58">
        <v>5053.5730000000003</v>
      </c>
      <c r="O150" s="43"/>
      <c r="P150" s="55"/>
      <c r="Q150" s="46"/>
      <c r="R150" s="43"/>
      <c r="S150" s="55"/>
      <c r="T150" s="55"/>
      <c r="U150" s="46"/>
    </row>
    <row r="151" spans="1:21" s="8" customFormat="1" ht="25.5" x14ac:dyDescent="0.2">
      <c r="A151" s="100" t="s">
        <v>154</v>
      </c>
      <c r="B151" s="43"/>
      <c r="C151" s="43"/>
      <c r="D151" s="43"/>
      <c r="E151" s="43"/>
      <c r="F151" s="43"/>
      <c r="G151" s="44"/>
      <c r="H151" s="45"/>
      <c r="I151" s="96">
        <v>5071.6099999999997</v>
      </c>
      <c r="J151" s="46"/>
      <c r="K151" s="43"/>
      <c r="L151" s="45"/>
      <c r="M151" s="58"/>
      <c r="N151" s="58">
        <v>5071.6019999999999</v>
      </c>
      <c r="O151" s="43"/>
      <c r="P151" s="55"/>
      <c r="Q151" s="46"/>
      <c r="R151" s="43"/>
      <c r="S151" s="55"/>
      <c r="T151" s="55"/>
      <c r="U151" s="46"/>
    </row>
    <row r="152" spans="1:21" s="8" customFormat="1" x14ac:dyDescent="0.2">
      <c r="A152" s="17" t="s">
        <v>138</v>
      </c>
      <c r="B152" s="25">
        <f t="shared" ref="B152:U152" si="15">SUM(B124:B151)</f>
        <v>0</v>
      </c>
      <c r="C152" s="25">
        <f t="shared" si="15"/>
        <v>0</v>
      </c>
      <c r="D152" s="25">
        <f t="shared" si="15"/>
        <v>148609.02007999999</v>
      </c>
      <c r="E152" s="25">
        <f t="shared" si="15"/>
        <v>50290.154999999999</v>
      </c>
      <c r="F152" s="25">
        <f t="shared" si="15"/>
        <v>0</v>
      </c>
      <c r="G152" s="25">
        <f t="shared" si="15"/>
        <v>0</v>
      </c>
      <c r="H152" s="25">
        <f t="shared" si="15"/>
        <v>0</v>
      </c>
      <c r="I152" s="25">
        <f t="shared" si="15"/>
        <v>121634.25000000001</v>
      </c>
      <c r="J152" s="25">
        <f t="shared" si="15"/>
        <v>181928.18000000002</v>
      </c>
      <c r="K152" s="25">
        <f t="shared" si="15"/>
        <v>0</v>
      </c>
      <c r="L152" s="25">
        <f t="shared" si="15"/>
        <v>0</v>
      </c>
      <c r="M152" s="25">
        <f t="shared" si="15"/>
        <v>0</v>
      </c>
      <c r="N152" s="25">
        <f t="shared" si="15"/>
        <v>62662.595000000001</v>
      </c>
      <c r="O152" s="25">
        <f t="shared" si="15"/>
        <v>0</v>
      </c>
      <c r="P152" s="25">
        <f t="shared" si="15"/>
        <v>0</v>
      </c>
      <c r="Q152" s="25">
        <f t="shared" si="15"/>
        <v>0</v>
      </c>
      <c r="R152" s="25">
        <f t="shared" si="15"/>
        <v>0</v>
      </c>
      <c r="S152" s="25">
        <f t="shared" si="15"/>
        <v>0</v>
      </c>
      <c r="T152" s="25">
        <f t="shared" si="15"/>
        <v>0</v>
      </c>
      <c r="U152" s="25">
        <f t="shared" si="15"/>
        <v>0</v>
      </c>
    </row>
    <row r="153" spans="1:21" s="8" customFormat="1" x14ac:dyDescent="0.2">
      <c r="A153" s="2"/>
      <c r="B153" s="29"/>
      <c r="C153" s="29"/>
      <c r="D153" s="29"/>
      <c r="E153" s="29"/>
      <c r="F153" s="29"/>
      <c r="G153" s="3"/>
      <c r="H153" s="3"/>
      <c r="I153" s="3"/>
      <c r="J153" s="64"/>
      <c r="K153" s="29"/>
      <c r="L153" s="3"/>
      <c r="M153" s="3"/>
      <c r="N153" s="30"/>
      <c r="O153" s="29"/>
      <c r="P153" s="3"/>
      <c r="Q153" s="30"/>
      <c r="R153" s="29"/>
      <c r="S153" s="3"/>
      <c r="T153" s="3"/>
      <c r="U153" s="30"/>
    </row>
    <row r="154" spans="1:21" s="8" customFormat="1" ht="13.5" thickBot="1" x14ac:dyDescent="0.25">
      <c r="A154" s="13" t="s">
        <v>6</v>
      </c>
      <c r="B154" s="48">
        <v>0</v>
      </c>
      <c r="C154" s="48">
        <v>484254.09123000002</v>
      </c>
      <c r="D154" s="48">
        <f t="shared" ref="D154:U154" si="16">SUM(D152,D121,D119,D114,D111,D103,D62,D49,D34)</f>
        <v>460897.52007999999</v>
      </c>
      <c r="E154" s="48">
        <f t="shared" si="16"/>
        <v>382266.45500000002</v>
      </c>
      <c r="F154" s="48">
        <f t="shared" si="16"/>
        <v>199479.2</v>
      </c>
      <c r="G154" s="48">
        <f t="shared" si="16"/>
        <v>250000</v>
      </c>
      <c r="H154" s="48">
        <f t="shared" si="16"/>
        <v>973010</v>
      </c>
      <c r="I154" s="48">
        <f t="shared" si="16"/>
        <v>828888.52</v>
      </c>
      <c r="J154" s="48">
        <f t="shared" si="16"/>
        <v>831720.33</v>
      </c>
      <c r="K154" s="48">
        <f t="shared" si="16"/>
        <v>0</v>
      </c>
      <c r="L154" s="48">
        <f t="shared" si="16"/>
        <v>965899</v>
      </c>
      <c r="M154" s="48">
        <f t="shared" si="16"/>
        <v>886394.58</v>
      </c>
      <c r="N154" s="48">
        <f t="shared" si="16"/>
        <v>666477.58499999996</v>
      </c>
      <c r="O154" s="48">
        <f t="shared" si="16"/>
        <v>262305</v>
      </c>
      <c r="P154" s="48">
        <f t="shared" si="16"/>
        <v>874250</v>
      </c>
      <c r="Q154" s="48">
        <f t="shared" si="16"/>
        <v>1426001</v>
      </c>
      <c r="R154" s="48">
        <f t="shared" si="16"/>
        <v>667334</v>
      </c>
      <c r="S154" s="48">
        <f t="shared" si="16"/>
        <v>0</v>
      </c>
      <c r="T154" s="48">
        <f t="shared" si="16"/>
        <v>0</v>
      </c>
      <c r="U154" s="48">
        <f t="shared" si="16"/>
        <v>225615</v>
      </c>
    </row>
    <row r="156" spans="1:21" x14ac:dyDescent="0.2">
      <c r="B156" s="4">
        <v>2019</v>
      </c>
      <c r="C156" s="4">
        <v>2020</v>
      </c>
      <c r="D156" s="4">
        <v>2021</v>
      </c>
      <c r="E156" s="4">
        <v>2022</v>
      </c>
      <c r="F156" s="4">
        <v>2023</v>
      </c>
      <c r="G156" s="4">
        <v>2024</v>
      </c>
      <c r="H156" s="4" t="s">
        <v>146</v>
      </c>
    </row>
    <row r="157" spans="1:21" x14ac:dyDescent="0.2">
      <c r="A157" s="49" t="s">
        <v>33</v>
      </c>
      <c r="B157" s="10"/>
      <c r="C157" s="10"/>
      <c r="D157" s="10">
        <f>F154</f>
        <v>199479.2</v>
      </c>
      <c r="E157" s="10"/>
      <c r="F157" s="10"/>
      <c r="G157" s="10"/>
      <c r="H157" s="10">
        <f>SUM(B157:G157)</f>
        <v>199479.2</v>
      </c>
    </row>
    <row r="158" spans="1:21" x14ac:dyDescent="0.2">
      <c r="A158" s="49" t="s">
        <v>152</v>
      </c>
      <c r="B158" s="10"/>
      <c r="C158" s="10"/>
      <c r="D158" s="10">
        <f>H154</f>
        <v>973010</v>
      </c>
      <c r="E158" s="10">
        <f>L154</f>
        <v>965899</v>
      </c>
      <c r="F158" s="10">
        <f>O154</f>
        <v>262305</v>
      </c>
      <c r="G158" s="10">
        <f>R154</f>
        <v>667334</v>
      </c>
      <c r="H158" s="10">
        <f t="shared" ref="H158:H161" si="17">SUM(B158:G158)</f>
        <v>2868548</v>
      </c>
      <c r="I158" s="88">
        <f>H158-3000000</f>
        <v>-131452</v>
      </c>
    </row>
    <row r="159" spans="1:21" ht="13.5" thickBot="1" x14ac:dyDescent="0.25">
      <c r="A159" s="76"/>
      <c r="B159" s="77"/>
      <c r="C159" s="77"/>
      <c r="D159" s="77"/>
      <c r="E159" s="77"/>
      <c r="F159" s="77"/>
      <c r="G159" s="77"/>
      <c r="H159" s="77"/>
    </row>
    <row r="160" spans="1:21" x14ac:dyDescent="0.2">
      <c r="A160" s="78" t="s">
        <v>145</v>
      </c>
      <c r="B160" s="79">
        <f>C154</f>
        <v>484254.09123000002</v>
      </c>
      <c r="C160" s="79">
        <f>D154</f>
        <v>460897.52007999999</v>
      </c>
      <c r="D160" s="79">
        <f>G154+I154</f>
        <v>1078888.52</v>
      </c>
      <c r="E160" s="79">
        <f>M154</f>
        <v>886394.58</v>
      </c>
      <c r="F160" s="79">
        <f>P154</f>
        <v>874250</v>
      </c>
      <c r="G160" s="79">
        <f>T154</f>
        <v>0</v>
      </c>
      <c r="H160" s="80">
        <f t="shared" si="17"/>
        <v>3784684.7113100002</v>
      </c>
    </row>
    <row r="161" spans="1:9" x14ac:dyDescent="0.2">
      <c r="A161" s="81" t="s">
        <v>141</v>
      </c>
      <c r="B161" s="10"/>
      <c r="C161" s="10">
        <f>E154</f>
        <v>382266.45500000002</v>
      </c>
      <c r="D161" s="10">
        <f>J154</f>
        <v>831720.33</v>
      </c>
      <c r="E161" s="10">
        <f>N154</f>
        <v>666477.58499999996</v>
      </c>
      <c r="F161" s="10">
        <f>Q154</f>
        <v>1426001</v>
      </c>
      <c r="G161" s="10">
        <f>U154+S122</f>
        <v>475615</v>
      </c>
      <c r="H161" s="82">
        <f t="shared" si="17"/>
        <v>3782080.37</v>
      </c>
      <c r="I161" s="14">
        <f>H160-H161</f>
        <v>2604.3413100000471</v>
      </c>
    </row>
    <row r="162" spans="1:9" ht="13.5" thickBot="1" x14ac:dyDescent="0.25">
      <c r="A162" s="83" t="s">
        <v>150</v>
      </c>
      <c r="B162" s="84"/>
      <c r="C162" s="85">
        <f>B160+C160-C161</f>
        <v>562885.15630999999</v>
      </c>
      <c r="D162" s="85">
        <f>C162+D160-D161</f>
        <v>810053.34631000005</v>
      </c>
      <c r="E162" s="85">
        <f>D162+E160-E161</f>
        <v>1029970.34131</v>
      </c>
      <c r="F162" s="85">
        <f t="shared" ref="F162:G162" si="18">E162+F160-F161</f>
        <v>478219.34131000005</v>
      </c>
      <c r="G162" s="85">
        <f t="shared" si="18"/>
        <v>2604.3413100000471</v>
      </c>
      <c r="H162" s="86"/>
    </row>
  </sheetData>
  <autoFilter ref="A1:U114" xr:uid="{4ABA3BC3-8023-4B4C-A20D-DE4822BA870B}"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5">
    <mergeCell ref="R1:U1"/>
    <mergeCell ref="K1:N1"/>
    <mergeCell ref="O1:Q1"/>
    <mergeCell ref="A1:A2"/>
    <mergeCell ref="F1:J1"/>
  </mergeCells>
  <phoneticPr fontId="14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FF1D-3CDA-4335-B999-FADBEA2A0339}">
  <sheetPr>
    <tabColor theme="0"/>
  </sheetPr>
  <dimension ref="A1:AI214"/>
  <sheetViews>
    <sheetView workbookViewId="0">
      <selection sqref="A1:A2"/>
    </sheetView>
  </sheetViews>
  <sheetFormatPr defaultColWidth="9.140625" defaultRowHeight="12.75" x14ac:dyDescent="0.2"/>
  <cols>
    <col min="1" max="1" width="52.42578125" style="4" customWidth="1"/>
    <col min="2" max="34" width="14.7109375" style="14" customWidth="1"/>
    <col min="35" max="35" width="12.7109375" style="4" customWidth="1"/>
    <col min="36" max="16384" width="9.140625" style="4"/>
  </cols>
  <sheetData>
    <row r="1" spans="1:35" ht="24.75" customHeight="1" thickBot="1" x14ac:dyDescent="0.25">
      <c r="A1" s="384" t="s">
        <v>0</v>
      </c>
      <c r="B1" s="71">
        <v>2018</v>
      </c>
      <c r="C1" s="71" t="s">
        <v>149</v>
      </c>
      <c r="D1" s="71" t="s">
        <v>147</v>
      </c>
      <c r="E1" s="71" t="s">
        <v>148</v>
      </c>
      <c r="F1" s="367" t="s">
        <v>113</v>
      </c>
      <c r="G1" s="370"/>
      <c r="H1" s="370"/>
      <c r="I1" s="370"/>
      <c r="J1" s="377"/>
      <c r="K1" s="367" t="s">
        <v>114</v>
      </c>
      <c r="L1" s="370"/>
      <c r="M1" s="370"/>
      <c r="N1" s="369"/>
      <c r="O1" s="368" t="s">
        <v>115</v>
      </c>
      <c r="P1" s="376"/>
      <c r="Q1" s="376"/>
      <c r="R1" s="376"/>
      <c r="S1" s="271"/>
      <c r="T1" s="381" t="s">
        <v>116</v>
      </c>
      <c r="U1" s="382"/>
      <c r="V1" s="382"/>
      <c r="W1" s="382"/>
      <c r="X1" s="382"/>
      <c r="Y1" s="383"/>
      <c r="Z1" s="378" t="s">
        <v>204</v>
      </c>
      <c r="AA1" s="379"/>
      <c r="AB1" s="380"/>
      <c r="AC1" s="368" t="s">
        <v>218</v>
      </c>
      <c r="AD1" s="368"/>
      <c r="AE1" s="376"/>
      <c r="AF1" s="374" t="s">
        <v>219</v>
      </c>
      <c r="AG1" s="368"/>
      <c r="AH1" s="376"/>
    </row>
    <row r="2" spans="1:35" ht="25.5" x14ac:dyDescent="0.2">
      <c r="A2" s="385"/>
      <c r="B2" s="21"/>
      <c r="C2" s="21"/>
      <c r="D2" s="21"/>
      <c r="E2" s="212"/>
      <c r="F2" s="269" t="s">
        <v>143</v>
      </c>
      <c r="G2" s="75" t="s">
        <v>36</v>
      </c>
      <c r="H2" s="5" t="s">
        <v>250</v>
      </c>
      <c r="I2" s="270" t="s">
        <v>139</v>
      </c>
      <c r="J2" s="57" t="s">
        <v>140</v>
      </c>
      <c r="K2" s="21" t="s">
        <v>143</v>
      </c>
      <c r="L2" s="5" t="s">
        <v>152</v>
      </c>
      <c r="M2" s="5" t="s">
        <v>139</v>
      </c>
      <c r="N2" s="22" t="s">
        <v>140</v>
      </c>
      <c r="O2" s="188" t="s">
        <v>143</v>
      </c>
      <c r="P2" s="268" t="s">
        <v>152</v>
      </c>
      <c r="Q2" s="188" t="s">
        <v>139</v>
      </c>
      <c r="R2" s="57" t="s">
        <v>140</v>
      </c>
      <c r="S2" s="196" t="s">
        <v>214</v>
      </c>
      <c r="T2" s="21" t="s">
        <v>143</v>
      </c>
      <c r="U2" s="5" t="s">
        <v>152</v>
      </c>
      <c r="V2" s="5" t="s">
        <v>139</v>
      </c>
      <c r="W2" s="196" t="s">
        <v>214</v>
      </c>
      <c r="X2" s="5" t="s">
        <v>140</v>
      </c>
      <c r="Y2" s="168" t="s">
        <v>213</v>
      </c>
      <c r="Z2" s="204" t="s">
        <v>143</v>
      </c>
      <c r="AA2" s="197" t="s">
        <v>214</v>
      </c>
      <c r="AB2" s="198" t="s">
        <v>213</v>
      </c>
      <c r="AC2" s="158" t="s">
        <v>220</v>
      </c>
      <c r="AD2" s="140" t="s">
        <v>214</v>
      </c>
      <c r="AE2" s="140" t="s">
        <v>213</v>
      </c>
      <c r="AF2" s="21" t="s">
        <v>220</v>
      </c>
      <c r="AG2" s="140" t="s">
        <v>214</v>
      </c>
      <c r="AH2" s="140" t="s">
        <v>213</v>
      </c>
      <c r="AI2" s="4" t="s">
        <v>251</v>
      </c>
    </row>
    <row r="3" spans="1:35" s="37" customFormat="1" x14ac:dyDescent="0.2">
      <c r="A3" s="128" t="s">
        <v>94</v>
      </c>
      <c r="B3" s="43"/>
      <c r="C3" s="43"/>
      <c r="D3" s="43"/>
      <c r="E3" s="213"/>
      <c r="F3" s="43"/>
      <c r="G3" s="44"/>
      <c r="H3" s="45"/>
      <c r="I3" s="45">
        <v>43590</v>
      </c>
      <c r="J3" s="58"/>
      <c r="K3" s="43"/>
      <c r="L3" s="45"/>
      <c r="M3" s="45">
        <v>9800</v>
      </c>
      <c r="N3" s="46">
        <v>53390</v>
      </c>
      <c r="O3" s="55"/>
      <c r="P3" s="45"/>
      <c r="Q3" s="146"/>
      <c r="R3" s="58"/>
      <c r="S3" s="45"/>
      <c r="T3" s="43"/>
      <c r="U3" s="45"/>
      <c r="V3" s="45"/>
      <c r="W3" s="45"/>
      <c r="X3" s="45"/>
      <c r="Y3" s="46"/>
      <c r="Z3" s="146"/>
      <c r="AA3" s="45"/>
      <c r="AB3" s="46"/>
      <c r="AC3" s="146"/>
      <c r="AD3" s="45"/>
      <c r="AE3" s="45"/>
      <c r="AF3" s="43"/>
      <c r="AG3" s="45"/>
      <c r="AH3" s="45"/>
      <c r="AI3" s="101">
        <f t="shared" ref="AI3:AI33" si="0">C3+D3+I3+M3+Q3+V3-E3-J3-N3-R3-X3</f>
        <v>0</v>
      </c>
    </row>
    <row r="4" spans="1:35" s="37" customFormat="1" x14ac:dyDescent="0.2">
      <c r="A4" s="128" t="s">
        <v>95</v>
      </c>
      <c r="B4" s="43"/>
      <c r="C4" s="43"/>
      <c r="D4" s="43"/>
      <c r="E4" s="213"/>
      <c r="F4" s="43"/>
      <c r="G4" s="45"/>
      <c r="H4" s="45"/>
      <c r="I4" s="45"/>
      <c r="J4" s="58"/>
      <c r="K4" s="43"/>
      <c r="L4" s="45"/>
      <c r="M4" s="45"/>
      <c r="N4" s="46"/>
      <c r="O4" s="55"/>
      <c r="P4" s="45"/>
      <c r="Q4" s="146">
        <v>37000</v>
      </c>
      <c r="R4" s="58"/>
      <c r="S4" s="45"/>
      <c r="T4" s="43"/>
      <c r="U4" s="45"/>
      <c r="V4" s="45"/>
      <c r="W4" s="45">
        <v>128000</v>
      </c>
      <c r="X4" s="45">
        <v>37000</v>
      </c>
      <c r="Y4" s="46"/>
      <c r="Z4" s="146"/>
      <c r="AA4" s="45">
        <v>61000</v>
      </c>
      <c r="AB4" s="46">
        <v>128000</v>
      </c>
      <c r="AC4" s="146"/>
      <c r="AD4" s="45"/>
      <c r="AE4" s="45">
        <v>60500</v>
      </c>
      <c r="AF4" s="43"/>
      <c r="AG4" s="45"/>
      <c r="AH4" s="45"/>
      <c r="AI4" s="101">
        <f t="shared" si="0"/>
        <v>0</v>
      </c>
    </row>
    <row r="5" spans="1:35" s="37" customFormat="1" x14ac:dyDescent="0.2">
      <c r="A5" s="128" t="s">
        <v>202</v>
      </c>
      <c r="B5" s="43"/>
      <c r="C5" s="43"/>
      <c r="D5" s="43"/>
      <c r="E5" s="213"/>
      <c r="F5" s="43"/>
      <c r="G5" s="44"/>
      <c r="H5" s="45"/>
      <c r="I5" s="45"/>
      <c r="J5" s="58"/>
      <c r="K5" s="43"/>
      <c r="L5" s="45"/>
      <c r="M5" s="45">
        <v>0</v>
      </c>
      <c r="N5" s="46"/>
      <c r="O5" s="55"/>
      <c r="P5" s="45"/>
      <c r="Q5" s="146">
        <v>0</v>
      </c>
      <c r="R5" s="58">
        <v>0</v>
      </c>
      <c r="S5" s="45"/>
      <c r="T5" s="43"/>
      <c r="U5" s="45"/>
      <c r="V5" s="45"/>
      <c r="W5" s="45">
        <v>0</v>
      </c>
      <c r="X5" s="45">
        <v>0</v>
      </c>
      <c r="Y5" s="46"/>
      <c r="Z5" s="146"/>
      <c r="AA5" s="45">
        <v>0</v>
      </c>
      <c r="AB5" s="46">
        <v>0</v>
      </c>
      <c r="AC5" s="146"/>
      <c r="AD5" s="45"/>
      <c r="AE5" s="45">
        <v>86000</v>
      </c>
      <c r="AF5" s="43"/>
      <c r="AG5" s="45"/>
      <c r="AH5" s="45"/>
      <c r="AI5" s="101">
        <f t="shared" si="0"/>
        <v>0</v>
      </c>
    </row>
    <row r="6" spans="1:35" s="37" customFormat="1" ht="25.5" x14ac:dyDescent="0.2">
      <c r="A6" s="128" t="s">
        <v>96</v>
      </c>
      <c r="B6" s="43"/>
      <c r="C6" s="43"/>
      <c r="D6" s="43"/>
      <c r="E6" s="213"/>
      <c r="F6" s="43"/>
      <c r="G6" s="44"/>
      <c r="H6" s="45"/>
      <c r="I6" s="45">
        <v>0</v>
      </c>
      <c r="J6" s="58"/>
      <c r="K6" s="43"/>
      <c r="L6" s="45"/>
      <c r="M6" s="45">
        <v>61600</v>
      </c>
      <c r="N6" s="46">
        <v>0</v>
      </c>
      <c r="O6" s="55"/>
      <c r="P6" s="45"/>
      <c r="Q6" s="146"/>
      <c r="R6" s="58">
        <v>61600</v>
      </c>
      <c r="S6" s="45"/>
      <c r="T6" s="43"/>
      <c r="U6" s="45"/>
      <c r="V6" s="45"/>
      <c r="W6" s="45"/>
      <c r="X6" s="45"/>
      <c r="Y6" s="46"/>
      <c r="Z6" s="146"/>
      <c r="AA6" s="45"/>
      <c r="AB6" s="46"/>
      <c r="AC6" s="146"/>
      <c r="AD6" s="45"/>
      <c r="AE6" s="45"/>
      <c r="AF6" s="43"/>
      <c r="AG6" s="45"/>
      <c r="AH6" s="45"/>
      <c r="AI6" s="101">
        <f t="shared" si="0"/>
        <v>0</v>
      </c>
    </row>
    <row r="7" spans="1:35" s="37" customFormat="1" x14ac:dyDescent="0.2">
      <c r="A7" s="128" t="s">
        <v>97</v>
      </c>
      <c r="B7" s="43"/>
      <c r="C7" s="43">
        <v>49967.695000000007</v>
      </c>
      <c r="D7" s="43"/>
      <c r="E7" s="213">
        <v>49812.41</v>
      </c>
      <c r="F7" s="43"/>
      <c r="G7" s="44"/>
      <c r="H7" s="45"/>
      <c r="I7" s="45"/>
      <c r="J7" s="58"/>
      <c r="K7" s="43"/>
      <c r="L7" s="45"/>
      <c r="M7" s="45"/>
      <c r="N7" s="46"/>
      <c r="O7" s="55"/>
      <c r="P7" s="45"/>
      <c r="Q7" s="146"/>
      <c r="R7" s="58"/>
      <c r="S7" s="45"/>
      <c r="T7" s="43"/>
      <c r="U7" s="45"/>
      <c r="V7" s="45"/>
      <c r="W7" s="45"/>
      <c r="X7" s="45"/>
      <c r="Y7" s="46"/>
      <c r="Z7" s="146"/>
      <c r="AA7" s="45"/>
      <c r="AB7" s="46"/>
      <c r="AC7" s="146"/>
      <c r="AD7" s="45"/>
      <c r="AE7" s="45"/>
      <c r="AF7" s="43"/>
      <c r="AG7" s="45"/>
      <c r="AH7" s="45"/>
      <c r="AI7" s="229">
        <f t="shared" si="0"/>
        <v>155.28500000000349</v>
      </c>
    </row>
    <row r="8" spans="1:35" s="37" customFormat="1" x14ac:dyDescent="0.2">
      <c r="A8" s="128" t="s">
        <v>37</v>
      </c>
      <c r="B8" s="43"/>
      <c r="C8" s="43"/>
      <c r="D8" s="43">
        <v>26008.13</v>
      </c>
      <c r="E8" s="213"/>
      <c r="F8" s="43"/>
      <c r="G8" s="44"/>
      <c r="H8" s="45"/>
      <c r="I8" s="45"/>
      <c r="J8" s="58">
        <v>25956.75</v>
      </c>
      <c r="K8" s="43"/>
      <c r="L8" s="45"/>
      <c r="M8" s="45"/>
      <c r="N8" s="46"/>
      <c r="O8" s="55"/>
      <c r="P8" s="45"/>
      <c r="Q8" s="146"/>
      <c r="R8" s="58"/>
      <c r="S8" s="45"/>
      <c r="T8" s="43"/>
      <c r="U8" s="45"/>
      <c r="V8" s="45"/>
      <c r="W8" s="45"/>
      <c r="X8" s="45"/>
      <c r="Y8" s="46"/>
      <c r="Z8" s="146"/>
      <c r="AA8" s="45"/>
      <c r="AB8" s="46"/>
      <c r="AC8" s="146"/>
      <c r="AD8" s="45"/>
      <c r="AE8" s="45"/>
      <c r="AF8" s="43"/>
      <c r="AG8" s="45"/>
      <c r="AH8" s="45"/>
      <c r="AI8" s="229">
        <f t="shared" si="0"/>
        <v>51.380000000001019</v>
      </c>
    </row>
    <row r="9" spans="1:35" s="37" customFormat="1" x14ac:dyDescent="0.2">
      <c r="A9" s="128" t="s">
        <v>39</v>
      </c>
      <c r="B9" s="43"/>
      <c r="C9" s="43">
        <v>28740.21488</v>
      </c>
      <c r="D9" s="43"/>
      <c r="E9" s="213">
        <v>28692.21</v>
      </c>
      <c r="F9" s="43"/>
      <c r="G9" s="44"/>
      <c r="H9" s="45"/>
      <c r="I9" s="45"/>
      <c r="J9" s="58"/>
      <c r="K9" s="43"/>
      <c r="L9" s="45"/>
      <c r="M9" s="45"/>
      <c r="N9" s="46"/>
      <c r="O9" s="55"/>
      <c r="P9" s="45"/>
      <c r="Q9" s="146"/>
      <c r="R9" s="58"/>
      <c r="S9" s="45"/>
      <c r="T9" s="43"/>
      <c r="U9" s="45"/>
      <c r="V9" s="45"/>
      <c r="W9" s="45"/>
      <c r="X9" s="45"/>
      <c r="Y9" s="46"/>
      <c r="Z9" s="146"/>
      <c r="AA9" s="45"/>
      <c r="AB9" s="46"/>
      <c r="AC9" s="146"/>
      <c r="AD9" s="45"/>
      <c r="AE9" s="45"/>
      <c r="AF9" s="43"/>
      <c r="AG9" s="45"/>
      <c r="AH9" s="45"/>
      <c r="AI9" s="229">
        <f t="shared" si="0"/>
        <v>48.004880000000412</v>
      </c>
    </row>
    <row r="10" spans="1:35" s="37" customFormat="1" x14ac:dyDescent="0.2">
      <c r="A10" s="128" t="s">
        <v>142</v>
      </c>
      <c r="B10" s="43"/>
      <c r="C10" s="43">
        <v>92990.592149999997</v>
      </c>
      <c r="D10" s="43">
        <v>35376.769999999997</v>
      </c>
      <c r="E10" s="213"/>
      <c r="F10" s="43"/>
      <c r="G10" s="44"/>
      <c r="H10" s="45"/>
      <c r="I10" s="45"/>
      <c r="J10" s="58">
        <v>128368</v>
      </c>
      <c r="K10" s="43"/>
      <c r="L10" s="45"/>
      <c r="M10" s="45"/>
      <c r="N10" s="46"/>
      <c r="O10" s="55"/>
      <c r="P10" s="45"/>
      <c r="Q10" s="146"/>
      <c r="R10" s="58"/>
      <c r="S10" s="45"/>
      <c r="T10" s="43"/>
      <c r="U10" s="45"/>
      <c r="V10" s="45"/>
      <c r="W10" s="45"/>
      <c r="X10" s="45"/>
      <c r="Y10" s="46"/>
      <c r="Z10" s="146"/>
      <c r="AA10" s="45"/>
      <c r="AB10" s="46"/>
      <c r="AC10" s="146"/>
      <c r="AD10" s="45"/>
      <c r="AE10" s="45"/>
      <c r="AF10" s="43"/>
      <c r="AG10" s="45"/>
      <c r="AH10" s="45"/>
      <c r="AI10" s="101">
        <f t="shared" si="0"/>
        <v>-0.63784999999916181</v>
      </c>
    </row>
    <row r="11" spans="1:35" s="37" customFormat="1" ht="25.5" x14ac:dyDescent="0.2">
      <c r="A11" s="128" t="s">
        <v>38</v>
      </c>
      <c r="B11" s="43"/>
      <c r="C11" s="43">
        <v>31682.355830000008</v>
      </c>
      <c r="D11" s="43">
        <v>33997.089999999997</v>
      </c>
      <c r="E11" s="213"/>
      <c r="F11" s="43"/>
      <c r="G11" s="44"/>
      <c r="H11" s="45"/>
      <c r="I11" s="45"/>
      <c r="J11" s="58">
        <v>65679.45</v>
      </c>
      <c r="K11" s="43"/>
      <c r="L11" s="45"/>
      <c r="M11" s="45"/>
      <c r="N11" s="46"/>
      <c r="O11" s="55"/>
      <c r="P11" s="45"/>
      <c r="Q11" s="146"/>
      <c r="R11" s="58"/>
      <c r="S11" s="45"/>
      <c r="T11" s="43"/>
      <c r="U11" s="45"/>
      <c r="V11" s="45"/>
      <c r="W11" s="45"/>
      <c r="X11" s="45"/>
      <c r="Y11" s="46"/>
      <c r="Z11" s="146"/>
      <c r="AA11" s="45"/>
      <c r="AB11" s="46"/>
      <c r="AC11" s="146"/>
      <c r="AD11" s="45"/>
      <c r="AE11" s="45"/>
      <c r="AF11" s="43"/>
      <c r="AG11" s="45"/>
      <c r="AH11" s="45"/>
      <c r="AI11" s="101">
        <f t="shared" si="0"/>
        <v>-4.1699999856064096E-3</v>
      </c>
    </row>
    <row r="12" spans="1:35" s="37" customFormat="1" ht="25.5" x14ac:dyDescent="0.2">
      <c r="A12" s="128" t="s">
        <v>40</v>
      </c>
      <c r="B12" s="43"/>
      <c r="C12" s="43">
        <v>61875.870090000004</v>
      </c>
      <c r="D12" s="43">
        <v>20356.8</v>
      </c>
      <c r="E12" s="213">
        <v>82232.67</v>
      </c>
      <c r="F12" s="43"/>
      <c r="G12" s="44"/>
      <c r="H12" s="45"/>
      <c r="I12" s="45"/>
      <c r="J12" s="58"/>
      <c r="K12" s="43"/>
      <c r="L12" s="45"/>
      <c r="M12" s="45"/>
      <c r="N12" s="46"/>
      <c r="O12" s="55"/>
      <c r="P12" s="45"/>
      <c r="Q12" s="146"/>
      <c r="R12" s="58"/>
      <c r="S12" s="45"/>
      <c r="T12" s="43"/>
      <c r="U12" s="45"/>
      <c r="V12" s="45"/>
      <c r="W12" s="45"/>
      <c r="X12" s="45"/>
      <c r="Y12" s="46"/>
      <c r="Z12" s="146"/>
      <c r="AA12" s="45"/>
      <c r="AB12" s="46"/>
      <c r="AC12" s="146"/>
      <c r="AD12" s="45"/>
      <c r="AE12" s="45"/>
      <c r="AF12" s="43"/>
      <c r="AG12" s="45"/>
      <c r="AH12" s="45"/>
      <c r="AI12" s="101">
        <f t="shared" si="0"/>
        <v>9.0000001364387572E-5</v>
      </c>
    </row>
    <row r="13" spans="1:35" s="37" customFormat="1" ht="25.5" x14ac:dyDescent="0.2">
      <c r="A13" s="128" t="s">
        <v>41</v>
      </c>
      <c r="B13" s="43"/>
      <c r="C13" s="43"/>
      <c r="D13" s="43">
        <v>190.46</v>
      </c>
      <c r="E13" s="213"/>
      <c r="F13" s="43"/>
      <c r="G13" s="44"/>
      <c r="H13" s="45"/>
      <c r="I13" s="45">
        <v>37759.83</v>
      </c>
      <c r="J13" s="58">
        <v>0</v>
      </c>
      <c r="K13" s="43"/>
      <c r="L13" s="45"/>
      <c r="M13" s="45">
        <v>5071</v>
      </c>
      <c r="N13" s="46">
        <v>43022</v>
      </c>
      <c r="O13" s="55"/>
      <c r="P13" s="45"/>
      <c r="Q13" s="146"/>
      <c r="R13" s="58"/>
      <c r="S13" s="45"/>
      <c r="T13" s="43"/>
      <c r="U13" s="45"/>
      <c r="V13" s="45"/>
      <c r="W13" s="45"/>
      <c r="X13" s="45"/>
      <c r="Y13" s="46"/>
      <c r="Z13" s="146"/>
      <c r="AA13" s="45"/>
      <c r="AB13" s="46"/>
      <c r="AC13" s="146"/>
      <c r="AD13" s="45"/>
      <c r="AE13" s="45"/>
      <c r="AF13" s="43"/>
      <c r="AG13" s="45"/>
      <c r="AH13" s="45"/>
      <c r="AI13" s="101">
        <f t="shared" si="0"/>
        <v>-0.70999999999912689</v>
      </c>
    </row>
    <row r="14" spans="1:35" s="37" customFormat="1" ht="25.5" x14ac:dyDescent="0.2">
      <c r="A14" s="128" t="s">
        <v>43</v>
      </c>
      <c r="B14" s="43"/>
      <c r="C14" s="43"/>
      <c r="D14" s="43"/>
      <c r="E14" s="213"/>
      <c r="F14" s="43"/>
      <c r="G14" s="44"/>
      <c r="H14" s="45"/>
      <c r="I14" s="45">
        <v>44419.3</v>
      </c>
      <c r="J14" s="58"/>
      <c r="K14" s="43"/>
      <c r="L14" s="45"/>
      <c r="M14" s="45">
        <v>28620</v>
      </c>
      <c r="N14" s="46">
        <v>73040</v>
      </c>
      <c r="O14" s="55"/>
      <c r="P14" s="45"/>
      <c r="Q14" s="146"/>
      <c r="R14" s="58"/>
      <c r="S14" s="45"/>
      <c r="T14" s="43"/>
      <c r="U14" s="45"/>
      <c r="V14" s="45"/>
      <c r="W14" s="45"/>
      <c r="X14" s="45"/>
      <c r="Y14" s="46"/>
      <c r="Z14" s="146"/>
      <c r="AA14" s="45"/>
      <c r="AB14" s="46"/>
      <c r="AC14" s="146"/>
      <c r="AD14" s="45"/>
      <c r="AE14" s="45"/>
      <c r="AF14" s="43"/>
      <c r="AG14" s="45"/>
      <c r="AH14" s="45"/>
      <c r="AI14" s="101">
        <f t="shared" si="0"/>
        <v>-0.69999999999708962</v>
      </c>
    </row>
    <row r="15" spans="1:35" s="37" customFormat="1" ht="25.5" x14ac:dyDescent="0.2">
      <c r="A15" s="128" t="s">
        <v>42</v>
      </c>
      <c r="B15" s="43"/>
      <c r="C15" s="43">
        <v>50463.757810000003</v>
      </c>
      <c r="D15" s="43"/>
      <c r="E15" s="213">
        <v>46106.89</v>
      </c>
      <c r="F15" s="43"/>
      <c r="G15" s="44"/>
      <c r="H15" s="45"/>
      <c r="I15" s="45"/>
      <c r="J15" s="58"/>
      <c r="K15" s="43"/>
      <c r="L15" s="45"/>
      <c r="M15" s="45"/>
      <c r="N15" s="46"/>
      <c r="O15" s="55"/>
      <c r="P15" s="45"/>
      <c r="Q15" s="146"/>
      <c r="R15" s="58"/>
      <c r="S15" s="45"/>
      <c r="T15" s="43"/>
      <c r="U15" s="45"/>
      <c r="V15" s="45"/>
      <c r="W15" s="45"/>
      <c r="X15" s="45"/>
      <c r="Y15" s="46"/>
      <c r="Z15" s="146"/>
      <c r="AA15" s="45"/>
      <c r="AB15" s="46"/>
      <c r="AC15" s="146"/>
      <c r="AD15" s="45"/>
      <c r="AE15" s="45"/>
      <c r="AF15" s="43"/>
      <c r="AG15" s="45"/>
      <c r="AH15" s="45"/>
      <c r="AI15" s="229">
        <f t="shared" si="0"/>
        <v>4356.8678100000034</v>
      </c>
    </row>
    <row r="16" spans="1:35" s="37" customFormat="1" x14ac:dyDescent="0.2">
      <c r="A16" s="128" t="s">
        <v>195</v>
      </c>
      <c r="B16" s="43"/>
      <c r="C16" s="43">
        <v>12</v>
      </c>
      <c r="D16" s="43"/>
      <c r="E16" s="213"/>
      <c r="F16" s="43"/>
      <c r="G16" s="44"/>
      <c r="H16" s="45"/>
      <c r="I16" s="45"/>
      <c r="J16" s="58"/>
      <c r="K16" s="43"/>
      <c r="L16" s="45"/>
      <c r="M16" s="45"/>
      <c r="N16" s="46"/>
      <c r="O16" s="55"/>
      <c r="P16" s="45"/>
      <c r="Q16" s="146"/>
      <c r="R16" s="58"/>
      <c r="S16" s="45"/>
      <c r="T16" s="43"/>
      <c r="U16" s="45"/>
      <c r="V16" s="45"/>
      <c r="W16" s="45"/>
      <c r="X16" s="45"/>
      <c r="Y16" s="46"/>
      <c r="Z16" s="146"/>
      <c r="AA16" s="45"/>
      <c r="AB16" s="46"/>
      <c r="AC16" s="146"/>
      <c r="AD16" s="45"/>
      <c r="AE16" s="45"/>
      <c r="AF16" s="43"/>
      <c r="AG16" s="45"/>
      <c r="AH16" s="45"/>
      <c r="AI16" s="229">
        <f t="shared" si="0"/>
        <v>12</v>
      </c>
    </row>
    <row r="17" spans="1:35" s="37" customFormat="1" x14ac:dyDescent="0.2">
      <c r="A17" s="128" t="s">
        <v>44</v>
      </c>
      <c r="B17" s="43"/>
      <c r="C17" s="43"/>
      <c r="D17" s="43"/>
      <c r="E17" s="213"/>
      <c r="F17" s="43"/>
      <c r="G17" s="44"/>
      <c r="H17" s="45"/>
      <c r="I17" s="45">
        <v>38810.980000000003</v>
      </c>
      <c r="J17" s="58">
        <v>38810.980000000003</v>
      </c>
      <c r="K17" s="43"/>
      <c r="L17" s="45"/>
      <c r="M17" s="45"/>
      <c r="N17" s="46"/>
      <c r="O17" s="55"/>
      <c r="P17" s="45"/>
      <c r="Q17" s="146"/>
      <c r="R17" s="58"/>
      <c r="S17" s="45"/>
      <c r="T17" s="43"/>
      <c r="U17" s="45"/>
      <c r="V17" s="45"/>
      <c r="W17" s="45"/>
      <c r="X17" s="45"/>
      <c r="Y17" s="46"/>
      <c r="Z17" s="146"/>
      <c r="AA17" s="45"/>
      <c r="AB17" s="46"/>
      <c r="AC17" s="146"/>
      <c r="AD17" s="45"/>
      <c r="AE17" s="45"/>
      <c r="AF17" s="43"/>
      <c r="AG17" s="45"/>
      <c r="AH17" s="45"/>
      <c r="AI17" s="101">
        <f t="shared" si="0"/>
        <v>0</v>
      </c>
    </row>
    <row r="18" spans="1:35" s="37" customFormat="1" x14ac:dyDescent="0.2">
      <c r="A18" s="128" t="s">
        <v>45</v>
      </c>
      <c r="B18" s="43"/>
      <c r="C18" s="43"/>
      <c r="D18" s="43">
        <v>27498.560000000001</v>
      </c>
      <c r="E18" s="213"/>
      <c r="F18" s="43"/>
      <c r="G18" s="44"/>
      <c r="H18" s="45"/>
      <c r="I18" s="45">
        <v>1265.94</v>
      </c>
      <c r="J18" s="58">
        <v>28764.5</v>
      </c>
      <c r="K18" s="43"/>
      <c r="L18" s="45"/>
      <c r="M18" s="45"/>
      <c r="N18" s="46"/>
      <c r="O18" s="55"/>
      <c r="P18" s="45"/>
      <c r="Q18" s="146"/>
      <c r="R18" s="58"/>
      <c r="S18" s="45"/>
      <c r="T18" s="43"/>
      <c r="U18" s="45"/>
      <c r="V18" s="45"/>
      <c r="W18" s="45"/>
      <c r="X18" s="45"/>
      <c r="Y18" s="46"/>
      <c r="Z18" s="146"/>
      <c r="AA18" s="45"/>
      <c r="AB18" s="46"/>
      <c r="AC18" s="146"/>
      <c r="AD18" s="45"/>
      <c r="AE18" s="45"/>
      <c r="AF18" s="43"/>
      <c r="AG18" s="45"/>
      <c r="AH18" s="45"/>
      <c r="AI18" s="101">
        <f t="shared" si="0"/>
        <v>0</v>
      </c>
    </row>
    <row r="19" spans="1:35" s="37" customFormat="1" ht="25.5" x14ac:dyDescent="0.2">
      <c r="A19" s="128" t="s">
        <v>46</v>
      </c>
      <c r="B19" s="43"/>
      <c r="C19" s="43"/>
      <c r="D19" s="43"/>
      <c r="E19" s="213"/>
      <c r="F19" s="43"/>
      <c r="G19" s="45"/>
      <c r="H19" s="45"/>
      <c r="I19" s="45"/>
      <c r="J19" s="58"/>
      <c r="K19" s="43"/>
      <c r="L19" s="45"/>
      <c r="M19" s="45"/>
      <c r="N19" s="46"/>
      <c r="O19" s="55"/>
      <c r="P19" s="45">
        <v>75300</v>
      </c>
      <c r="Q19" s="146"/>
      <c r="R19" s="58"/>
      <c r="S19" s="45"/>
      <c r="T19" s="43"/>
      <c r="U19" s="45"/>
      <c r="V19" s="45"/>
      <c r="W19" s="45"/>
      <c r="X19" s="45"/>
      <c r="Y19" s="46"/>
      <c r="Z19" s="146"/>
      <c r="AA19" s="45"/>
      <c r="AB19" s="46"/>
      <c r="AC19" s="146"/>
      <c r="AD19" s="45"/>
      <c r="AE19" s="45"/>
      <c r="AF19" s="43"/>
      <c r="AG19" s="45"/>
      <c r="AH19" s="45"/>
      <c r="AI19" s="101">
        <f t="shared" si="0"/>
        <v>0</v>
      </c>
    </row>
    <row r="20" spans="1:35" s="37" customFormat="1" x14ac:dyDescent="0.2">
      <c r="A20" s="128" t="s">
        <v>47</v>
      </c>
      <c r="B20" s="43"/>
      <c r="C20" s="43"/>
      <c r="D20" s="43"/>
      <c r="E20" s="213"/>
      <c r="F20" s="43"/>
      <c r="G20" s="45"/>
      <c r="H20" s="45"/>
      <c r="I20" s="45">
        <v>23650</v>
      </c>
      <c r="J20" s="58"/>
      <c r="K20" s="43"/>
      <c r="L20" s="45"/>
      <c r="M20" s="45">
        <v>31320</v>
      </c>
      <c r="N20" s="46"/>
      <c r="O20" s="55"/>
      <c r="P20" s="45"/>
      <c r="Q20" s="146"/>
      <c r="R20" s="58">
        <v>54970</v>
      </c>
      <c r="S20" s="45"/>
      <c r="T20" s="43"/>
      <c r="U20" s="45"/>
      <c r="V20" s="45"/>
      <c r="W20" s="45"/>
      <c r="X20" s="45"/>
      <c r="Y20" s="46"/>
      <c r="Z20" s="146"/>
      <c r="AA20" s="45"/>
      <c r="AB20" s="46"/>
      <c r="AC20" s="146"/>
      <c r="AD20" s="45"/>
      <c r="AE20" s="45"/>
      <c r="AF20" s="43"/>
      <c r="AG20" s="45"/>
      <c r="AH20" s="45"/>
      <c r="AI20" s="101">
        <f t="shared" si="0"/>
        <v>0</v>
      </c>
    </row>
    <row r="21" spans="1:35" s="37" customFormat="1" x14ac:dyDescent="0.2">
      <c r="A21" s="128" t="s">
        <v>48</v>
      </c>
      <c r="B21" s="43"/>
      <c r="C21" s="43"/>
      <c r="D21" s="43"/>
      <c r="E21" s="213"/>
      <c r="F21" s="43"/>
      <c r="G21" s="45"/>
      <c r="H21" s="45"/>
      <c r="I21" s="45"/>
      <c r="J21" s="58"/>
      <c r="K21" s="43"/>
      <c r="L21" s="45"/>
      <c r="M21" s="45">
        <v>34384</v>
      </c>
      <c r="N21" s="46">
        <v>0</v>
      </c>
      <c r="O21" s="55"/>
      <c r="P21" s="45"/>
      <c r="Q21" s="146"/>
      <c r="R21" s="58">
        <v>34384</v>
      </c>
      <c r="S21" s="45"/>
      <c r="T21" s="43"/>
      <c r="U21" s="45"/>
      <c r="V21" s="45"/>
      <c r="W21" s="45"/>
      <c r="X21" s="45"/>
      <c r="Y21" s="46"/>
      <c r="Z21" s="146"/>
      <c r="AA21" s="45"/>
      <c r="AB21" s="46"/>
      <c r="AC21" s="146"/>
      <c r="AD21" s="45"/>
      <c r="AE21" s="45"/>
      <c r="AF21" s="43"/>
      <c r="AG21" s="45"/>
      <c r="AH21" s="45"/>
      <c r="AI21" s="101">
        <f t="shared" si="0"/>
        <v>0</v>
      </c>
    </row>
    <row r="22" spans="1:35" s="37" customFormat="1" ht="25.5" x14ac:dyDescent="0.2">
      <c r="A22" s="128" t="s">
        <v>49</v>
      </c>
      <c r="B22" s="43"/>
      <c r="C22" s="43"/>
      <c r="D22" s="43"/>
      <c r="E22" s="213"/>
      <c r="F22" s="43"/>
      <c r="G22" s="45"/>
      <c r="H22" s="45"/>
      <c r="I22" s="45"/>
      <c r="J22" s="58"/>
      <c r="K22" s="43"/>
      <c r="L22" s="45"/>
      <c r="M22" s="45"/>
      <c r="N22" s="46"/>
      <c r="O22" s="55"/>
      <c r="P22" s="45"/>
      <c r="Q22" s="146"/>
      <c r="R22" s="58"/>
      <c r="S22" s="45"/>
      <c r="T22" s="43"/>
      <c r="U22" s="45"/>
      <c r="V22" s="45"/>
      <c r="W22" s="45"/>
      <c r="X22" s="45"/>
      <c r="Y22" s="46"/>
      <c r="Z22" s="146"/>
      <c r="AA22" s="45"/>
      <c r="AB22" s="46"/>
      <c r="AC22" s="146"/>
      <c r="AD22" s="45"/>
      <c r="AE22" s="45"/>
      <c r="AF22" s="43"/>
      <c r="AG22" s="45"/>
      <c r="AH22" s="45"/>
      <c r="AI22" s="101">
        <f t="shared" si="0"/>
        <v>0</v>
      </c>
    </row>
    <row r="23" spans="1:35" s="37" customFormat="1" ht="38.25" x14ac:dyDescent="0.2">
      <c r="A23" s="128" t="s">
        <v>50</v>
      </c>
      <c r="B23" s="43"/>
      <c r="C23" s="43"/>
      <c r="D23" s="43"/>
      <c r="E23" s="213"/>
      <c r="F23" s="43"/>
      <c r="G23" s="45"/>
      <c r="H23" s="45"/>
      <c r="I23" s="45"/>
      <c r="J23" s="58"/>
      <c r="K23" s="43"/>
      <c r="L23" s="45"/>
      <c r="M23" s="45"/>
      <c r="N23" s="46"/>
      <c r="O23" s="55"/>
      <c r="P23" s="45"/>
      <c r="Q23" s="146"/>
      <c r="R23" s="58"/>
      <c r="S23" s="45"/>
      <c r="T23" s="43"/>
      <c r="U23" s="45"/>
      <c r="V23" s="45"/>
      <c r="W23" s="45"/>
      <c r="X23" s="45"/>
      <c r="Y23" s="46"/>
      <c r="Z23" s="146"/>
      <c r="AA23" s="45"/>
      <c r="AB23" s="46"/>
      <c r="AC23" s="146"/>
      <c r="AD23" s="45"/>
      <c r="AE23" s="45"/>
      <c r="AF23" s="43"/>
      <c r="AG23" s="45"/>
      <c r="AH23" s="45"/>
      <c r="AI23" s="101">
        <f t="shared" si="0"/>
        <v>0</v>
      </c>
    </row>
    <row r="24" spans="1:35" s="37" customFormat="1" ht="25.5" x14ac:dyDescent="0.2">
      <c r="A24" s="128" t="s">
        <v>51</v>
      </c>
      <c r="B24" s="43"/>
      <c r="C24" s="43"/>
      <c r="D24" s="43"/>
      <c r="E24" s="213"/>
      <c r="F24" s="43"/>
      <c r="G24" s="45"/>
      <c r="H24" s="45"/>
      <c r="I24" s="45"/>
      <c r="J24" s="58"/>
      <c r="K24" s="43"/>
      <c r="L24" s="45"/>
      <c r="M24" s="45"/>
      <c r="N24" s="46"/>
      <c r="O24" s="55"/>
      <c r="P24" s="45"/>
      <c r="Q24" s="146"/>
      <c r="R24" s="58"/>
      <c r="S24" s="45"/>
      <c r="T24" s="43"/>
      <c r="U24" s="45"/>
      <c r="V24" s="45"/>
      <c r="W24" s="45"/>
      <c r="X24" s="45"/>
      <c r="Y24" s="46"/>
      <c r="Z24" s="146"/>
      <c r="AA24" s="45"/>
      <c r="AB24" s="46"/>
      <c r="AC24" s="146"/>
      <c r="AD24" s="45"/>
      <c r="AE24" s="45"/>
      <c r="AF24" s="43"/>
      <c r="AG24" s="45"/>
      <c r="AH24" s="45"/>
      <c r="AI24" s="101">
        <f t="shared" si="0"/>
        <v>0</v>
      </c>
    </row>
    <row r="25" spans="1:35" s="37" customFormat="1" ht="25.5" x14ac:dyDescent="0.2">
      <c r="A25" s="128" t="s">
        <v>52</v>
      </c>
      <c r="B25" s="43"/>
      <c r="C25" s="43"/>
      <c r="D25" s="43"/>
      <c r="E25" s="213"/>
      <c r="F25" s="43"/>
      <c r="G25" s="45"/>
      <c r="H25" s="45"/>
      <c r="I25" s="45">
        <v>0</v>
      </c>
      <c r="J25" s="58"/>
      <c r="K25" s="43"/>
      <c r="L25" s="45"/>
      <c r="M25" s="45"/>
      <c r="N25" s="46"/>
      <c r="O25" s="55"/>
      <c r="P25" s="45"/>
      <c r="Q25" s="146"/>
      <c r="R25" s="58"/>
      <c r="S25" s="45"/>
      <c r="T25" s="43"/>
      <c r="U25" s="45"/>
      <c r="V25" s="45"/>
      <c r="W25" s="45"/>
      <c r="X25" s="45"/>
      <c r="Y25" s="46"/>
      <c r="Z25" s="146"/>
      <c r="AA25" s="45"/>
      <c r="AB25" s="46"/>
      <c r="AC25" s="146"/>
      <c r="AD25" s="45"/>
      <c r="AE25" s="45"/>
      <c r="AF25" s="43"/>
      <c r="AG25" s="45"/>
      <c r="AH25" s="45"/>
      <c r="AI25" s="101">
        <f t="shared" si="0"/>
        <v>0</v>
      </c>
    </row>
    <row r="26" spans="1:35" s="37" customFormat="1" ht="25.5" x14ac:dyDescent="0.2">
      <c r="A26" s="128" t="s">
        <v>53</v>
      </c>
      <c r="B26" s="43"/>
      <c r="C26" s="43"/>
      <c r="D26" s="43"/>
      <c r="E26" s="213"/>
      <c r="F26" s="43"/>
      <c r="G26" s="45"/>
      <c r="H26" s="45"/>
      <c r="I26" s="45"/>
      <c r="J26" s="58"/>
      <c r="K26" s="43"/>
      <c r="L26" s="45"/>
      <c r="M26" s="45"/>
      <c r="N26" s="46"/>
      <c r="O26" s="55"/>
      <c r="P26" s="45"/>
      <c r="Q26" s="146"/>
      <c r="R26" s="58"/>
      <c r="S26" s="45"/>
      <c r="T26" s="43"/>
      <c r="U26" s="45"/>
      <c r="V26" s="45"/>
      <c r="W26" s="45"/>
      <c r="X26" s="45"/>
      <c r="Y26" s="46"/>
      <c r="Z26" s="146"/>
      <c r="AA26" s="45"/>
      <c r="AB26" s="46"/>
      <c r="AC26" s="146"/>
      <c r="AD26" s="45"/>
      <c r="AE26" s="45"/>
      <c r="AF26" s="43"/>
      <c r="AG26" s="45"/>
      <c r="AH26" s="45"/>
      <c r="AI26" s="101">
        <f t="shared" si="0"/>
        <v>0</v>
      </c>
    </row>
    <row r="27" spans="1:35" s="37" customFormat="1" ht="25.5" x14ac:dyDescent="0.2">
      <c r="A27" s="128" t="s">
        <v>54</v>
      </c>
      <c r="B27" s="43"/>
      <c r="C27" s="43"/>
      <c r="D27" s="43"/>
      <c r="E27" s="213"/>
      <c r="F27" s="43"/>
      <c r="G27" s="45"/>
      <c r="H27" s="45"/>
      <c r="I27" s="45"/>
      <c r="J27" s="58"/>
      <c r="K27" s="43"/>
      <c r="L27" s="45"/>
      <c r="M27" s="45">
        <v>109777</v>
      </c>
      <c r="N27" s="46"/>
      <c r="O27" s="55"/>
      <c r="P27" s="45"/>
      <c r="Q27" s="146">
        <v>0</v>
      </c>
      <c r="R27" s="58">
        <v>109777</v>
      </c>
      <c r="S27" s="45"/>
      <c r="T27" s="43"/>
      <c r="U27" s="45"/>
      <c r="V27" s="45"/>
      <c r="W27" s="45"/>
      <c r="X27" s="45"/>
      <c r="Y27" s="46"/>
      <c r="Z27" s="146"/>
      <c r="AA27" s="45"/>
      <c r="AB27" s="46"/>
      <c r="AC27" s="146"/>
      <c r="AD27" s="45"/>
      <c r="AE27" s="45"/>
      <c r="AF27" s="43"/>
      <c r="AG27" s="45"/>
      <c r="AH27" s="45"/>
      <c r="AI27" s="101">
        <f t="shared" si="0"/>
        <v>0</v>
      </c>
    </row>
    <row r="28" spans="1:35" s="37" customFormat="1" ht="25.5" x14ac:dyDescent="0.2">
      <c r="A28" s="128" t="s">
        <v>55</v>
      </c>
      <c r="B28" s="43"/>
      <c r="C28" s="43"/>
      <c r="D28" s="43"/>
      <c r="E28" s="213"/>
      <c r="F28" s="43"/>
      <c r="G28" s="45"/>
      <c r="H28" s="45"/>
      <c r="I28" s="45">
        <v>27810</v>
      </c>
      <c r="J28" s="58"/>
      <c r="K28" s="43"/>
      <c r="L28" s="45"/>
      <c r="M28" s="45">
        <v>52020</v>
      </c>
      <c r="N28" s="46"/>
      <c r="O28" s="55"/>
      <c r="P28" s="45"/>
      <c r="Q28" s="146"/>
      <c r="R28" s="58">
        <v>79830</v>
      </c>
      <c r="S28" s="45"/>
      <c r="T28" s="43"/>
      <c r="U28" s="45"/>
      <c r="V28" s="45"/>
      <c r="W28" s="45"/>
      <c r="X28" s="45"/>
      <c r="Y28" s="46"/>
      <c r="Z28" s="146"/>
      <c r="AA28" s="45"/>
      <c r="AB28" s="46"/>
      <c r="AC28" s="146"/>
      <c r="AD28" s="45"/>
      <c r="AE28" s="45"/>
      <c r="AF28" s="43"/>
      <c r="AG28" s="45"/>
      <c r="AH28" s="45"/>
      <c r="AI28" s="101">
        <f t="shared" si="0"/>
        <v>0</v>
      </c>
    </row>
    <row r="29" spans="1:35" s="37" customFormat="1" ht="25.5" x14ac:dyDescent="0.2">
      <c r="A29" s="128" t="s">
        <v>56</v>
      </c>
      <c r="B29" s="43"/>
      <c r="C29" s="43"/>
      <c r="D29" s="43"/>
      <c r="E29" s="213"/>
      <c r="F29" s="43"/>
      <c r="G29" s="45"/>
      <c r="H29" s="45"/>
      <c r="I29" s="45"/>
      <c r="J29" s="58"/>
      <c r="K29" s="43"/>
      <c r="L29" s="45"/>
      <c r="M29" s="45"/>
      <c r="N29" s="46"/>
      <c r="O29" s="55"/>
      <c r="P29" s="45"/>
      <c r="Q29" s="146"/>
      <c r="R29" s="58"/>
      <c r="S29" s="45"/>
      <c r="T29" s="43"/>
      <c r="U29" s="45"/>
      <c r="V29" s="45"/>
      <c r="W29" s="45"/>
      <c r="X29" s="45"/>
      <c r="Y29" s="46"/>
      <c r="Z29" s="146"/>
      <c r="AA29" s="45"/>
      <c r="AB29" s="46"/>
      <c r="AC29" s="146"/>
      <c r="AD29" s="45"/>
      <c r="AE29" s="45"/>
      <c r="AF29" s="43"/>
      <c r="AG29" s="45"/>
      <c r="AH29" s="45"/>
      <c r="AI29" s="101">
        <f t="shared" si="0"/>
        <v>0</v>
      </c>
    </row>
    <row r="30" spans="1:35" s="37" customFormat="1" x14ac:dyDescent="0.2">
      <c r="A30" s="128" t="s">
        <v>57</v>
      </c>
      <c r="B30" s="43"/>
      <c r="C30" s="43"/>
      <c r="D30" s="43"/>
      <c r="E30" s="213"/>
      <c r="F30" s="43"/>
      <c r="G30" s="44"/>
      <c r="H30" s="45"/>
      <c r="I30" s="45">
        <v>0</v>
      </c>
      <c r="J30" s="58"/>
      <c r="K30" s="43"/>
      <c r="L30" s="45"/>
      <c r="M30" s="45">
        <v>102513</v>
      </c>
      <c r="N30" s="46"/>
      <c r="O30" s="55"/>
      <c r="P30" s="45"/>
      <c r="Q30" s="146">
        <v>0</v>
      </c>
      <c r="R30" s="58">
        <v>102513</v>
      </c>
      <c r="S30" s="45"/>
      <c r="T30" s="43"/>
      <c r="U30" s="45"/>
      <c r="V30" s="45"/>
      <c r="W30" s="45"/>
      <c r="X30" s="45"/>
      <c r="Y30" s="46"/>
      <c r="Z30" s="146"/>
      <c r="AA30" s="45"/>
      <c r="AB30" s="46"/>
      <c r="AC30" s="146"/>
      <c r="AD30" s="45"/>
      <c r="AE30" s="45"/>
      <c r="AF30" s="43"/>
      <c r="AG30" s="45"/>
      <c r="AH30" s="45"/>
      <c r="AI30" s="101">
        <f t="shared" si="0"/>
        <v>0</v>
      </c>
    </row>
    <row r="31" spans="1:35" s="37" customFormat="1" x14ac:dyDescent="0.2">
      <c r="A31" s="128" t="s">
        <v>58</v>
      </c>
      <c r="B31" s="43"/>
      <c r="C31" s="43"/>
      <c r="D31" s="43"/>
      <c r="E31" s="213"/>
      <c r="F31" s="43"/>
      <c r="G31" s="44"/>
      <c r="H31" s="45"/>
      <c r="I31" s="45">
        <f>3930-3930</f>
        <v>0</v>
      </c>
      <c r="J31" s="58"/>
      <c r="K31" s="43"/>
      <c r="L31" s="45"/>
      <c r="M31" s="45">
        <v>3930</v>
      </c>
      <c r="N31" s="46">
        <v>3930</v>
      </c>
      <c r="O31" s="55"/>
      <c r="P31" s="45"/>
      <c r="Q31" s="146"/>
      <c r="R31" s="58"/>
      <c r="S31" s="45"/>
      <c r="T31" s="43"/>
      <c r="U31" s="45"/>
      <c r="V31" s="45"/>
      <c r="W31" s="45"/>
      <c r="X31" s="45"/>
      <c r="Y31" s="46"/>
      <c r="Z31" s="146"/>
      <c r="AA31" s="45"/>
      <c r="AB31" s="46"/>
      <c r="AC31" s="146"/>
      <c r="AD31" s="45"/>
      <c r="AE31" s="45"/>
      <c r="AF31" s="43"/>
      <c r="AG31" s="45"/>
      <c r="AH31" s="45"/>
      <c r="AI31" s="101">
        <f t="shared" si="0"/>
        <v>0</v>
      </c>
    </row>
    <row r="32" spans="1:35" s="37" customFormat="1" x14ac:dyDescent="0.2">
      <c r="A32" s="128" t="s">
        <v>59</v>
      </c>
      <c r="B32" s="43"/>
      <c r="C32" s="43"/>
      <c r="D32" s="43"/>
      <c r="E32" s="213"/>
      <c r="F32" s="43"/>
      <c r="G32" s="44"/>
      <c r="H32" s="45"/>
      <c r="I32" s="45">
        <v>3273</v>
      </c>
      <c r="J32" s="58"/>
      <c r="K32" s="43"/>
      <c r="L32" s="45"/>
      <c r="M32" s="45"/>
      <c r="N32" s="46">
        <v>3273</v>
      </c>
      <c r="O32" s="55"/>
      <c r="P32" s="45"/>
      <c r="Q32" s="146"/>
      <c r="R32" s="58"/>
      <c r="S32" s="45"/>
      <c r="T32" s="43"/>
      <c r="U32" s="45"/>
      <c r="V32" s="45"/>
      <c r="W32" s="45"/>
      <c r="X32" s="45"/>
      <c r="Y32" s="46"/>
      <c r="Z32" s="146"/>
      <c r="AA32" s="45"/>
      <c r="AB32" s="46"/>
      <c r="AC32" s="146"/>
      <c r="AD32" s="45"/>
      <c r="AE32" s="45"/>
      <c r="AF32" s="43"/>
      <c r="AG32" s="45"/>
      <c r="AH32" s="45"/>
      <c r="AI32" s="101">
        <f t="shared" si="0"/>
        <v>0</v>
      </c>
    </row>
    <row r="33" spans="1:35" s="37" customFormat="1" x14ac:dyDescent="0.2">
      <c r="A33" s="128" t="s">
        <v>60</v>
      </c>
      <c r="B33" s="43"/>
      <c r="C33" s="43"/>
      <c r="D33" s="43"/>
      <c r="E33" s="213"/>
      <c r="F33" s="43"/>
      <c r="G33" s="44"/>
      <c r="H33" s="45"/>
      <c r="I33" s="45">
        <f>1667-1667</f>
        <v>0</v>
      </c>
      <c r="J33" s="58"/>
      <c r="K33" s="43"/>
      <c r="L33" s="45"/>
      <c r="M33" s="45">
        <v>1666</v>
      </c>
      <c r="N33" s="46">
        <v>1667</v>
      </c>
      <c r="O33" s="55"/>
      <c r="P33" s="45"/>
      <c r="Q33" s="146"/>
      <c r="R33" s="58"/>
      <c r="S33" s="45"/>
      <c r="T33" s="43"/>
      <c r="U33" s="45"/>
      <c r="V33" s="45"/>
      <c r="W33" s="45"/>
      <c r="X33" s="45"/>
      <c r="Y33" s="46"/>
      <c r="Z33" s="146"/>
      <c r="AA33" s="45"/>
      <c r="AB33" s="46"/>
      <c r="AC33" s="146"/>
      <c r="AD33" s="45"/>
      <c r="AE33" s="45"/>
      <c r="AF33" s="43"/>
      <c r="AG33" s="45"/>
      <c r="AH33" s="45"/>
      <c r="AI33" s="101">
        <f t="shared" si="0"/>
        <v>-1</v>
      </c>
    </row>
    <row r="34" spans="1:35" s="37" customFormat="1" x14ac:dyDescent="0.2">
      <c r="A34" s="147" t="s">
        <v>209</v>
      </c>
      <c r="B34" s="43"/>
      <c r="C34" s="43"/>
      <c r="D34" s="43"/>
      <c r="E34" s="213"/>
      <c r="F34" s="43"/>
      <c r="G34" s="44"/>
      <c r="H34" s="45"/>
      <c r="I34" s="45"/>
      <c r="J34" s="58"/>
      <c r="K34" s="43"/>
      <c r="L34" s="45"/>
      <c r="M34" s="45"/>
      <c r="N34" s="46"/>
      <c r="O34" s="55"/>
      <c r="P34" s="45"/>
      <c r="Q34" s="146">
        <v>313000</v>
      </c>
      <c r="R34" s="58">
        <v>43300</v>
      </c>
      <c r="S34" s="45"/>
      <c r="T34" s="43"/>
      <c r="U34" s="45"/>
      <c r="V34" s="45"/>
      <c r="W34" s="45">
        <v>385000</v>
      </c>
      <c r="X34" s="45">
        <v>269700</v>
      </c>
      <c r="Y34" s="46">
        <v>98300</v>
      </c>
      <c r="Z34" s="146"/>
      <c r="AA34" s="45">
        <v>275000</v>
      </c>
      <c r="AB34" s="46">
        <v>435000</v>
      </c>
      <c r="AC34" s="146"/>
      <c r="AD34" s="45">
        <v>223300</v>
      </c>
      <c r="AE34" s="45">
        <v>235000</v>
      </c>
      <c r="AF34" s="43"/>
      <c r="AG34" s="45"/>
      <c r="AH34" s="45">
        <v>115000</v>
      </c>
      <c r="AI34" s="101"/>
    </row>
    <row r="35" spans="1:35" ht="25.5" x14ac:dyDescent="0.2">
      <c r="A35" s="16" t="s">
        <v>26</v>
      </c>
      <c r="B35" s="23"/>
      <c r="C35" s="23"/>
      <c r="D35" s="23"/>
      <c r="E35" s="214"/>
      <c r="F35" s="23"/>
      <c r="G35" s="6"/>
      <c r="H35" s="6">
        <v>807</v>
      </c>
      <c r="I35" s="6"/>
      <c r="J35" s="59"/>
      <c r="K35" s="31"/>
      <c r="L35" s="7">
        <v>130993</v>
      </c>
      <c r="M35" s="7"/>
      <c r="N35" s="32"/>
      <c r="O35" s="131"/>
      <c r="P35" s="6">
        <v>277178</v>
      </c>
      <c r="Q35" s="189"/>
      <c r="R35" s="59"/>
      <c r="S35" s="6"/>
      <c r="T35" s="23"/>
      <c r="U35" s="6"/>
      <c r="V35" s="6"/>
      <c r="W35" s="6"/>
      <c r="X35" s="6"/>
      <c r="Y35" s="24"/>
      <c r="Z35" s="159"/>
      <c r="AA35" s="6"/>
      <c r="AB35" s="24"/>
      <c r="AC35" s="159"/>
      <c r="AD35" s="6"/>
      <c r="AE35" s="6"/>
      <c r="AF35" s="23"/>
      <c r="AG35" s="6"/>
      <c r="AH35" s="6"/>
      <c r="AI35" s="101">
        <f t="shared" ref="AI35:AI104" si="1">C35+D35+I35+M35+Q35+V35-E35-J35-N35-R35-X35</f>
        <v>0</v>
      </c>
    </row>
    <row r="36" spans="1:35" ht="38.25" x14ac:dyDescent="0.2">
      <c r="A36" s="16" t="s">
        <v>25</v>
      </c>
      <c r="B36" s="23"/>
      <c r="C36" s="23"/>
      <c r="D36" s="23"/>
      <c r="E36" s="214"/>
      <c r="F36" s="23"/>
      <c r="G36" s="6"/>
      <c r="H36" s="6">
        <v>18298</v>
      </c>
      <c r="I36" s="6"/>
      <c r="J36" s="59"/>
      <c r="K36" s="31"/>
      <c r="L36" s="7">
        <v>38993</v>
      </c>
      <c r="M36" s="7"/>
      <c r="N36" s="32"/>
      <c r="O36" s="131"/>
      <c r="P36" s="6">
        <v>64999</v>
      </c>
      <c r="Q36" s="189"/>
      <c r="R36" s="59"/>
      <c r="S36" s="6"/>
      <c r="T36" s="23"/>
      <c r="U36" s="6">
        <v>3710</v>
      </c>
      <c r="V36" s="6"/>
      <c r="W36" s="6"/>
      <c r="X36" s="6"/>
      <c r="Y36" s="24"/>
      <c r="Z36" s="159"/>
      <c r="AA36" s="6"/>
      <c r="AB36" s="24"/>
      <c r="AC36" s="159"/>
      <c r="AD36" s="6"/>
      <c r="AE36" s="6"/>
      <c r="AF36" s="23"/>
      <c r="AG36" s="6"/>
      <c r="AH36" s="6"/>
      <c r="AI36" s="101">
        <f t="shared" si="1"/>
        <v>0</v>
      </c>
    </row>
    <row r="37" spans="1:35" s="8" customFormat="1" x14ac:dyDescent="0.2">
      <c r="A37" s="17" t="s">
        <v>31</v>
      </c>
      <c r="B37" s="25">
        <f t="shared" ref="B37:U37" si="2">SUM(B3:B36)</f>
        <v>0</v>
      </c>
      <c r="C37" s="25">
        <f t="shared" si="2"/>
        <v>315732.48576000001</v>
      </c>
      <c r="D37" s="25">
        <f t="shared" si="2"/>
        <v>143427.81</v>
      </c>
      <c r="E37" s="142">
        <f t="shared" si="2"/>
        <v>206844.18</v>
      </c>
      <c r="F37" s="199">
        <f t="shared" si="2"/>
        <v>0</v>
      </c>
      <c r="G37" s="191">
        <f t="shared" si="2"/>
        <v>0</v>
      </c>
      <c r="H37" s="191">
        <f t="shared" si="2"/>
        <v>19105</v>
      </c>
      <c r="I37" s="191">
        <f t="shared" si="2"/>
        <v>220579.05000000002</v>
      </c>
      <c r="J37" s="218">
        <f t="shared" si="2"/>
        <v>287579.68000000005</v>
      </c>
      <c r="K37" s="199">
        <f t="shared" si="2"/>
        <v>0</v>
      </c>
      <c r="L37" s="191">
        <f t="shared" si="2"/>
        <v>169986</v>
      </c>
      <c r="M37" s="191">
        <f t="shared" si="2"/>
        <v>440701</v>
      </c>
      <c r="N37" s="200">
        <f t="shared" si="2"/>
        <v>178322</v>
      </c>
      <c r="O37" s="169">
        <f t="shared" si="2"/>
        <v>0</v>
      </c>
      <c r="P37" s="191">
        <f t="shared" si="2"/>
        <v>417477</v>
      </c>
      <c r="Q37" s="161">
        <f t="shared" si="2"/>
        <v>350000</v>
      </c>
      <c r="R37" s="60">
        <f t="shared" si="2"/>
        <v>486374</v>
      </c>
      <c r="S37" s="60">
        <f t="shared" si="2"/>
        <v>0</v>
      </c>
      <c r="T37" s="199"/>
      <c r="U37" s="191">
        <f t="shared" si="2"/>
        <v>3710</v>
      </c>
      <c r="V37" s="191">
        <f>SUM(V3:V36)</f>
        <v>0</v>
      </c>
      <c r="W37" s="191">
        <f>SUM(W3:W36)</f>
        <v>513000</v>
      </c>
      <c r="X37" s="191">
        <f>SUM(X3:X36)</f>
        <v>306700</v>
      </c>
      <c r="Y37" s="200">
        <f>SUM(Y3:Y36)</f>
        <v>98300</v>
      </c>
      <c r="Z37" s="191">
        <f t="shared" ref="Z37:AH37" si="3">SUM(Z3:Z36)</f>
        <v>0</v>
      </c>
      <c r="AA37" s="191">
        <f t="shared" si="3"/>
        <v>336000</v>
      </c>
      <c r="AB37" s="200">
        <f t="shared" si="3"/>
        <v>563000</v>
      </c>
      <c r="AC37" s="15">
        <f t="shared" si="3"/>
        <v>0</v>
      </c>
      <c r="AD37" s="60">
        <f t="shared" si="3"/>
        <v>223300</v>
      </c>
      <c r="AE37" s="60">
        <f t="shared" si="3"/>
        <v>381500</v>
      </c>
      <c r="AF37" s="60">
        <f t="shared" si="3"/>
        <v>0</v>
      </c>
      <c r="AG37" s="60">
        <f t="shared" si="3"/>
        <v>0</v>
      </c>
      <c r="AH37" s="60">
        <f t="shared" si="3"/>
        <v>115000</v>
      </c>
      <c r="AI37" s="101">
        <f t="shared" si="1"/>
        <v>4620.4857599999523</v>
      </c>
    </row>
    <row r="38" spans="1:35" s="37" customFormat="1" ht="25.5" x14ac:dyDescent="0.2">
      <c r="A38" s="128" t="s">
        <v>101</v>
      </c>
      <c r="B38" s="43"/>
      <c r="C38" s="43"/>
      <c r="D38" s="43">
        <v>9288.98</v>
      </c>
      <c r="E38" s="213">
        <v>0</v>
      </c>
      <c r="F38" s="43"/>
      <c r="G38" s="44"/>
      <c r="H38" s="45"/>
      <c r="I38" s="45">
        <v>247.28</v>
      </c>
      <c r="J38" s="58">
        <f>8965+525.67</f>
        <v>9490.67</v>
      </c>
      <c r="K38" s="43"/>
      <c r="L38" s="45"/>
      <c r="M38" s="45"/>
      <c r="N38" s="46"/>
      <c r="O38" s="55"/>
      <c r="P38" s="45"/>
      <c r="Q38" s="55"/>
      <c r="R38" s="58"/>
      <c r="S38" s="45"/>
      <c r="T38" s="43"/>
      <c r="U38" s="45"/>
      <c r="V38" s="45"/>
      <c r="W38" s="45"/>
      <c r="X38" s="45"/>
      <c r="Y38" s="46"/>
      <c r="Z38" s="146"/>
      <c r="AA38" s="45"/>
      <c r="AB38" s="46"/>
      <c r="AC38" s="146"/>
      <c r="AD38" s="45"/>
      <c r="AE38" s="45"/>
      <c r="AF38" s="43"/>
      <c r="AG38" s="45"/>
      <c r="AH38" s="45"/>
      <c r="AI38" s="101">
        <f t="shared" si="1"/>
        <v>45.590000000000146</v>
      </c>
    </row>
    <row r="39" spans="1:35" s="37" customFormat="1" x14ac:dyDescent="0.2">
      <c r="A39" s="128" t="s">
        <v>61</v>
      </c>
      <c r="B39" s="43"/>
      <c r="C39" s="43">
        <v>9399.1217199999992</v>
      </c>
      <c r="D39" s="43">
        <v>3466.25</v>
      </c>
      <c r="E39" s="213"/>
      <c r="F39" s="43"/>
      <c r="G39" s="44"/>
      <c r="H39" s="45"/>
      <c r="I39" s="45">
        <v>5582.49</v>
      </c>
      <c r="J39" s="58">
        <v>18447.86</v>
      </c>
      <c r="K39" s="43"/>
      <c r="L39" s="45"/>
      <c r="M39" s="45"/>
      <c r="N39" s="46"/>
      <c r="O39" s="55"/>
      <c r="P39" s="45"/>
      <c r="Q39" s="55"/>
      <c r="R39" s="58"/>
      <c r="S39" s="45"/>
      <c r="T39" s="43"/>
      <c r="U39" s="45"/>
      <c r="V39" s="45"/>
      <c r="W39" s="45"/>
      <c r="X39" s="45"/>
      <c r="Y39" s="46"/>
      <c r="Z39" s="146"/>
      <c r="AA39" s="45"/>
      <c r="AB39" s="46"/>
      <c r="AC39" s="146"/>
      <c r="AD39" s="45"/>
      <c r="AE39" s="45"/>
      <c r="AF39" s="43"/>
      <c r="AG39" s="45"/>
      <c r="AH39" s="45"/>
      <c r="AI39" s="101">
        <f t="shared" si="1"/>
        <v>1.720000000204891E-3</v>
      </c>
    </row>
    <row r="40" spans="1:35" s="37" customFormat="1" x14ac:dyDescent="0.2">
      <c r="A40" s="128" t="s">
        <v>62</v>
      </c>
      <c r="B40" s="43"/>
      <c r="C40" s="43">
        <v>14752.691030000002</v>
      </c>
      <c r="D40" s="43">
        <v>8810.76</v>
      </c>
      <c r="E40" s="213">
        <v>289.41000000000003</v>
      </c>
      <c r="F40" s="43"/>
      <c r="G40" s="44"/>
      <c r="H40" s="45"/>
      <c r="I40" s="45"/>
      <c r="J40" s="58">
        <v>23274.1</v>
      </c>
      <c r="K40" s="43"/>
      <c r="L40" s="45"/>
      <c r="M40" s="45"/>
      <c r="N40" s="46"/>
      <c r="O40" s="55"/>
      <c r="P40" s="45"/>
      <c r="Q40" s="55"/>
      <c r="R40" s="58"/>
      <c r="S40" s="45"/>
      <c r="T40" s="43"/>
      <c r="U40" s="45"/>
      <c r="V40" s="45"/>
      <c r="W40" s="45"/>
      <c r="X40" s="45"/>
      <c r="Y40" s="46"/>
      <c r="Z40" s="146"/>
      <c r="AA40" s="45"/>
      <c r="AB40" s="46"/>
      <c r="AC40" s="146"/>
      <c r="AD40" s="45"/>
      <c r="AE40" s="45"/>
      <c r="AF40" s="43"/>
      <c r="AG40" s="45"/>
      <c r="AH40" s="45"/>
      <c r="AI40" s="101">
        <f t="shared" si="1"/>
        <v>-5.8969999994587852E-2</v>
      </c>
    </row>
    <row r="41" spans="1:35" s="37" customFormat="1" x14ac:dyDescent="0.2">
      <c r="A41" s="128" t="s">
        <v>63</v>
      </c>
      <c r="B41" s="43"/>
      <c r="C41" s="43">
        <v>21763.88624</v>
      </c>
      <c r="D41" s="43"/>
      <c r="E41" s="213">
        <v>21763.89</v>
      </c>
      <c r="F41" s="43"/>
      <c r="G41" s="44"/>
      <c r="H41" s="45"/>
      <c r="I41" s="45"/>
      <c r="J41" s="58"/>
      <c r="K41" s="43"/>
      <c r="L41" s="45"/>
      <c r="M41" s="45"/>
      <c r="N41" s="46"/>
      <c r="O41" s="55"/>
      <c r="P41" s="45"/>
      <c r="Q41" s="55"/>
      <c r="R41" s="58"/>
      <c r="S41" s="45"/>
      <c r="T41" s="43"/>
      <c r="U41" s="45"/>
      <c r="V41" s="45"/>
      <c r="W41" s="45"/>
      <c r="X41" s="45"/>
      <c r="Y41" s="46"/>
      <c r="Z41" s="146"/>
      <c r="AA41" s="45"/>
      <c r="AB41" s="46"/>
      <c r="AC41" s="146"/>
      <c r="AD41" s="45"/>
      <c r="AE41" s="45"/>
      <c r="AF41" s="43"/>
      <c r="AG41" s="45"/>
      <c r="AH41" s="45"/>
      <c r="AI41" s="101">
        <f t="shared" si="1"/>
        <v>-3.7599999996018596E-3</v>
      </c>
    </row>
    <row r="42" spans="1:35" s="37" customFormat="1" ht="25.5" x14ac:dyDescent="0.2">
      <c r="A42" s="128" t="s">
        <v>64</v>
      </c>
      <c r="B42" s="43"/>
      <c r="C42" s="43">
        <v>53656.974830000006</v>
      </c>
      <c r="D42" s="43">
        <v>22429.23</v>
      </c>
      <c r="E42" s="213">
        <v>76086.210000000006</v>
      </c>
      <c r="F42" s="43"/>
      <c r="G42" s="44"/>
      <c r="H42" s="45"/>
      <c r="I42" s="45"/>
      <c r="J42" s="58"/>
      <c r="K42" s="43"/>
      <c r="L42" s="45"/>
      <c r="M42" s="45"/>
      <c r="N42" s="46"/>
      <c r="O42" s="55"/>
      <c r="P42" s="45"/>
      <c r="Q42" s="55"/>
      <c r="R42" s="58"/>
      <c r="S42" s="45"/>
      <c r="T42" s="43"/>
      <c r="U42" s="45"/>
      <c r="V42" s="45"/>
      <c r="W42" s="45"/>
      <c r="X42" s="45"/>
      <c r="Y42" s="46"/>
      <c r="Z42" s="146"/>
      <c r="AA42" s="45"/>
      <c r="AB42" s="46"/>
      <c r="AC42" s="146"/>
      <c r="AD42" s="45"/>
      <c r="AE42" s="45"/>
      <c r="AF42" s="43"/>
      <c r="AG42" s="45"/>
      <c r="AH42" s="45"/>
      <c r="AI42" s="101">
        <f t="shared" si="1"/>
        <v>-5.1700000040000305E-3</v>
      </c>
    </row>
    <row r="43" spans="1:35" s="37" customFormat="1" x14ac:dyDescent="0.2">
      <c r="A43" s="128" t="s">
        <v>65</v>
      </c>
      <c r="B43" s="43"/>
      <c r="C43" s="43">
        <v>18168.2389</v>
      </c>
      <c r="D43" s="43">
        <v>64478.93</v>
      </c>
      <c r="E43" s="213"/>
      <c r="F43" s="43"/>
      <c r="G43" s="44">
        <v>13.86</v>
      </c>
      <c r="H43" s="45"/>
      <c r="I43" s="45">
        <v>14467.53</v>
      </c>
      <c r="J43" s="58">
        <f>97114.7+13.86</f>
        <v>97128.56</v>
      </c>
      <c r="K43" s="43"/>
      <c r="L43" s="45"/>
      <c r="M43" s="45"/>
      <c r="N43" s="46"/>
      <c r="O43" s="55"/>
      <c r="P43" s="45"/>
      <c r="Q43" s="55"/>
      <c r="R43" s="58"/>
      <c r="S43" s="45"/>
      <c r="T43" s="43"/>
      <c r="U43" s="45"/>
      <c r="V43" s="45"/>
      <c r="W43" s="45"/>
      <c r="X43" s="45"/>
      <c r="Y43" s="46"/>
      <c r="Z43" s="146"/>
      <c r="AA43" s="45"/>
      <c r="AB43" s="46"/>
      <c r="AC43" s="146"/>
      <c r="AD43" s="45"/>
      <c r="AE43" s="45"/>
      <c r="AF43" s="43"/>
      <c r="AG43" s="45"/>
      <c r="AH43" s="45"/>
      <c r="AI43" s="101">
        <f t="shared" si="1"/>
        <v>-13.861099999994622</v>
      </c>
    </row>
    <row r="44" spans="1:35" s="37" customFormat="1" x14ac:dyDescent="0.2">
      <c r="A44" s="128" t="s">
        <v>66</v>
      </c>
      <c r="B44" s="43"/>
      <c r="C44" s="43"/>
      <c r="D44" s="43"/>
      <c r="E44" s="213"/>
      <c r="F44" s="43"/>
      <c r="G44" s="44"/>
      <c r="H44" s="45"/>
      <c r="I44" s="45"/>
      <c r="J44" s="58"/>
      <c r="K44" s="43"/>
      <c r="L44" s="45"/>
      <c r="M44" s="45"/>
      <c r="N44" s="46"/>
      <c r="O44" s="55"/>
      <c r="P44" s="45"/>
      <c r="Q44" s="55"/>
      <c r="R44" s="58"/>
      <c r="S44" s="45"/>
      <c r="T44" s="43"/>
      <c r="U44" s="45"/>
      <c r="V44" s="45"/>
      <c r="W44" s="45"/>
      <c r="X44" s="45"/>
      <c r="Y44" s="46"/>
      <c r="Z44" s="146"/>
      <c r="AA44" s="45"/>
      <c r="AB44" s="46"/>
      <c r="AC44" s="146"/>
      <c r="AD44" s="45"/>
      <c r="AE44" s="45"/>
      <c r="AF44" s="43"/>
      <c r="AG44" s="45"/>
      <c r="AH44" s="45"/>
      <c r="AI44" s="101">
        <f t="shared" si="1"/>
        <v>0</v>
      </c>
    </row>
    <row r="45" spans="1:35" s="37" customFormat="1" x14ac:dyDescent="0.2">
      <c r="A45" s="128" t="s">
        <v>67</v>
      </c>
      <c r="B45" s="43"/>
      <c r="C45" s="43"/>
      <c r="D45" s="43"/>
      <c r="E45" s="213"/>
      <c r="F45" s="43"/>
      <c r="G45" s="44"/>
      <c r="H45" s="45"/>
      <c r="I45" s="45"/>
      <c r="J45" s="58"/>
      <c r="K45" s="43"/>
      <c r="L45" s="45"/>
      <c r="M45" s="45">
        <v>16540</v>
      </c>
      <c r="N45" s="46">
        <v>0</v>
      </c>
      <c r="O45" s="55"/>
      <c r="P45" s="45"/>
      <c r="Q45" s="55"/>
      <c r="R45" s="58">
        <v>16540</v>
      </c>
      <c r="S45" s="45"/>
      <c r="T45" s="43"/>
      <c r="U45" s="45"/>
      <c r="V45" s="45"/>
      <c r="W45" s="45"/>
      <c r="X45" s="45"/>
      <c r="Y45" s="46"/>
      <c r="Z45" s="146"/>
      <c r="AA45" s="45"/>
      <c r="AB45" s="46"/>
      <c r="AC45" s="146"/>
      <c r="AD45" s="45"/>
      <c r="AE45" s="45"/>
      <c r="AF45" s="43"/>
      <c r="AG45" s="45"/>
      <c r="AH45" s="45"/>
      <c r="AI45" s="101">
        <f t="shared" si="1"/>
        <v>0</v>
      </c>
    </row>
    <row r="46" spans="1:35" s="37" customFormat="1" ht="25.5" x14ac:dyDescent="0.2">
      <c r="A46" s="128" t="s">
        <v>68</v>
      </c>
      <c r="B46" s="43"/>
      <c r="C46" s="43"/>
      <c r="D46" s="43">
        <v>1576.58</v>
      </c>
      <c r="E46" s="213"/>
      <c r="F46" s="43"/>
      <c r="G46" s="44">
        <v>78.94</v>
      </c>
      <c r="H46" s="45"/>
      <c r="I46" s="45">
        <v>25165.53</v>
      </c>
      <c r="J46" s="44">
        <v>78.94</v>
      </c>
      <c r="K46" s="43"/>
      <c r="L46" s="45"/>
      <c r="M46" s="45">
        <v>10269</v>
      </c>
      <c r="N46" s="46">
        <v>37011</v>
      </c>
      <c r="O46" s="55"/>
      <c r="P46" s="45"/>
      <c r="Q46" s="55"/>
      <c r="R46" s="58"/>
      <c r="S46" s="45"/>
      <c r="T46" s="43"/>
      <c r="U46" s="45"/>
      <c r="V46" s="45"/>
      <c r="W46" s="45"/>
      <c r="X46" s="45"/>
      <c r="Y46" s="46"/>
      <c r="Z46" s="146"/>
      <c r="AA46" s="45"/>
      <c r="AB46" s="46"/>
      <c r="AC46" s="146"/>
      <c r="AD46" s="45"/>
      <c r="AE46" s="45"/>
      <c r="AF46" s="43"/>
      <c r="AG46" s="45"/>
      <c r="AH46" s="45"/>
      <c r="AI46" s="101">
        <f t="shared" si="1"/>
        <v>-78.830000000001746</v>
      </c>
    </row>
    <row r="47" spans="1:35" ht="28.5" customHeight="1" x14ac:dyDescent="0.2">
      <c r="A47" s="244" t="s">
        <v>237</v>
      </c>
      <c r="B47" s="27"/>
      <c r="C47" s="27"/>
      <c r="D47" s="27"/>
      <c r="E47" s="215"/>
      <c r="F47" s="27">
        <v>37193.040000000001</v>
      </c>
      <c r="G47" s="11"/>
      <c r="H47" s="129"/>
      <c r="I47" s="11"/>
      <c r="J47" s="61"/>
      <c r="K47" s="245">
        <v>17174</v>
      </c>
      <c r="L47" s="129"/>
      <c r="M47" s="246">
        <v>0</v>
      </c>
      <c r="N47" s="33"/>
      <c r="O47" s="65"/>
      <c r="P47" s="12"/>
      <c r="Q47" s="247"/>
      <c r="R47" s="248"/>
      <c r="S47" s="45"/>
      <c r="T47" s="36"/>
      <c r="U47" s="45"/>
      <c r="V47" s="45"/>
      <c r="W47" s="45"/>
      <c r="X47" s="246"/>
      <c r="Y47" s="249"/>
      <c r="Z47" s="146"/>
      <c r="AA47" s="246"/>
      <c r="AB47" s="249"/>
      <c r="AC47" s="146"/>
      <c r="AD47" s="246"/>
      <c r="AE47" s="246"/>
      <c r="AF47" s="250"/>
      <c r="AG47" s="246"/>
      <c r="AH47" s="246"/>
      <c r="AI47" s="101">
        <f t="shared" si="1"/>
        <v>0</v>
      </c>
    </row>
    <row r="48" spans="1:35" ht="28.5" customHeight="1" x14ac:dyDescent="0.2">
      <c r="A48" s="244" t="s">
        <v>205</v>
      </c>
      <c r="B48" s="27"/>
      <c r="C48" s="27"/>
      <c r="D48" s="27"/>
      <c r="E48" s="215"/>
      <c r="F48" s="27"/>
      <c r="G48" s="11"/>
      <c r="H48" s="129"/>
      <c r="I48" s="11"/>
      <c r="J48" s="61"/>
      <c r="K48" s="245">
        <v>5400</v>
      </c>
      <c r="L48" s="129"/>
      <c r="M48" s="246">
        <v>30000</v>
      </c>
      <c r="N48" s="33"/>
      <c r="O48" s="245">
        <v>52800</v>
      </c>
      <c r="P48" s="12"/>
      <c r="Q48" s="247">
        <v>297925</v>
      </c>
      <c r="R48" s="248">
        <v>30000</v>
      </c>
      <c r="S48" s="45"/>
      <c r="T48" s="36">
        <v>75900</v>
      </c>
      <c r="U48" s="45"/>
      <c r="V48" s="45"/>
      <c r="W48" s="45">
        <v>428825</v>
      </c>
      <c r="X48" s="246">
        <v>297925</v>
      </c>
      <c r="Y48" s="249"/>
      <c r="Z48" s="146">
        <v>85200</v>
      </c>
      <c r="AA48" s="246">
        <v>481525</v>
      </c>
      <c r="AB48" s="249">
        <v>428825</v>
      </c>
      <c r="AC48" s="146"/>
      <c r="AD48" s="246">
        <v>395927</v>
      </c>
      <c r="AE48" s="246">
        <v>481525</v>
      </c>
      <c r="AF48" s="250"/>
      <c r="AG48" s="246"/>
      <c r="AH48" s="246">
        <v>397800</v>
      </c>
      <c r="AI48" s="101">
        <f t="shared" si="1"/>
        <v>0</v>
      </c>
    </row>
    <row r="49" spans="1:35" x14ac:dyDescent="0.2">
      <c r="A49" s="16" t="s">
        <v>253</v>
      </c>
      <c r="B49" s="23"/>
      <c r="C49" s="23"/>
      <c r="D49" s="23"/>
      <c r="E49" s="214"/>
      <c r="F49" s="23"/>
      <c r="G49" s="6"/>
      <c r="H49" s="6"/>
      <c r="I49" s="6"/>
      <c r="J49" s="59"/>
      <c r="K49" s="47"/>
      <c r="L49" s="9"/>
      <c r="M49" s="9"/>
      <c r="N49" s="34"/>
      <c r="O49" s="186"/>
      <c r="P49" s="6"/>
      <c r="Q49" s="56"/>
      <c r="R49" s="59"/>
      <c r="S49" s="6"/>
      <c r="T49" s="23"/>
      <c r="U49" s="6"/>
      <c r="V49" s="6"/>
      <c r="W49" s="6">
        <v>19550</v>
      </c>
      <c r="X49" s="6"/>
      <c r="Y49" s="24">
        <v>4000</v>
      </c>
      <c r="Z49" s="159"/>
      <c r="AA49" s="6">
        <v>41225</v>
      </c>
      <c r="AB49" s="24">
        <v>30550</v>
      </c>
      <c r="AC49" s="159"/>
      <c r="AD49" s="6"/>
      <c r="AE49" s="6">
        <v>26225</v>
      </c>
      <c r="AF49" s="23"/>
      <c r="AG49" s="6"/>
      <c r="AH49" s="6"/>
      <c r="AI49" s="101"/>
    </row>
    <row r="50" spans="1:35" x14ac:dyDescent="0.2">
      <c r="A50" s="16" t="s">
        <v>254</v>
      </c>
      <c r="B50" s="23"/>
      <c r="C50" s="23"/>
      <c r="D50" s="23"/>
      <c r="E50" s="214"/>
      <c r="F50" s="23"/>
      <c r="G50" s="6"/>
      <c r="H50" s="6"/>
      <c r="I50" s="6"/>
      <c r="J50" s="59"/>
      <c r="K50" s="47"/>
      <c r="L50" s="9"/>
      <c r="M50" s="9"/>
      <c r="N50" s="34"/>
      <c r="O50" s="186"/>
      <c r="P50" s="6"/>
      <c r="Q50" s="56"/>
      <c r="R50" s="59"/>
      <c r="S50" s="6"/>
      <c r="T50" s="23"/>
      <c r="U50" s="6"/>
      <c r="V50" s="6"/>
      <c r="W50" s="6">
        <v>27200</v>
      </c>
      <c r="X50" s="6"/>
      <c r="Y50" s="24">
        <v>8000</v>
      </c>
      <c r="Z50" s="159"/>
      <c r="AA50" s="6">
        <v>71400</v>
      </c>
      <c r="AB50" s="24">
        <v>62000</v>
      </c>
      <c r="AC50" s="159"/>
      <c r="AD50" s="6">
        <v>19125</v>
      </c>
      <c r="AE50" s="6">
        <v>47725</v>
      </c>
      <c r="AF50" s="23"/>
      <c r="AG50" s="6"/>
      <c r="AH50" s="6"/>
      <c r="AI50" s="101"/>
    </row>
    <row r="51" spans="1:35" s="37" customFormat="1" x14ac:dyDescent="0.2">
      <c r="A51" s="38" t="s">
        <v>255</v>
      </c>
      <c r="B51" s="43"/>
      <c r="C51" s="43"/>
      <c r="D51" s="43"/>
      <c r="E51" s="213"/>
      <c r="F51" s="43"/>
      <c r="G51" s="6"/>
      <c r="H51" s="45"/>
      <c r="I51" s="45"/>
      <c r="J51" s="58"/>
      <c r="K51" s="43"/>
      <c r="L51" s="45"/>
      <c r="M51" s="45"/>
      <c r="N51" s="46"/>
      <c r="O51" s="55"/>
      <c r="P51" s="45"/>
      <c r="Q51" s="55"/>
      <c r="R51" s="58"/>
      <c r="S51" s="45"/>
      <c r="T51" s="43"/>
      <c r="U51" s="45"/>
      <c r="V51" s="45"/>
      <c r="W51" s="45">
        <v>25250</v>
      </c>
      <c r="X51" s="45"/>
      <c r="Y51" s="46">
        <v>14050</v>
      </c>
      <c r="Z51" s="146"/>
      <c r="AA51" s="45">
        <v>40150</v>
      </c>
      <c r="AB51" s="46">
        <v>48200</v>
      </c>
      <c r="AC51" s="146"/>
      <c r="AD51" s="45"/>
      <c r="AE51" s="45">
        <v>3150</v>
      </c>
      <c r="AF51" s="43"/>
      <c r="AG51" s="45"/>
      <c r="AH51" s="45"/>
      <c r="AI51" s="101">
        <f t="shared" si="1"/>
        <v>0</v>
      </c>
    </row>
    <row r="52" spans="1:35" x14ac:dyDescent="0.2">
      <c r="A52" s="16" t="s">
        <v>2</v>
      </c>
      <c r="B52" s="23"/>
      <c r="C52" s="23"/>
      <c r="D52" s="23"/>
      <c r="E52" s="214"/>
      <c r="F52" s="23">
        <v>0</v>
      </c>
      <c r="G52" s="6"/>
      <c r="H52" s="6">
        <v>0</v>
      </c>
      <c r="I52" s="6"/>
      <c r="J52" s="59"/>
      <c r="K52" s="47"/>
      <c r="L52" s="9">
        <v>0</v>
      </c>
      <c r="M52" s="9"/>
      <c r="N52" s="34"/>
      <c r="O52" s="186"/>
      <c r="P52" s="6">
        <v>0</v>
      </c>
      <c r="Q52" s="56"/>
      <c r="R52" s="59"/>
      <c r="S52" s="6"/>
      <c r="T52" s="23"/>
      <c r="U52" s="6">
        <v>0</v>
      </c>
      <c r="V52" s="6"/>
      <c r="W52" s="6"/>
      <c r="X52" s="6"/>
      <c r="Y52" s="24"/>
      <c r="Z52" s="159"/>
      <c r="AA52" s="6"/>
      <c r="AB52" s="24"/>
      <c r="AC52" s="159"/>
      <c r="AD52" s="6"/>
      <c r="AE52" s="6"/>
      <c r="AF52" s="23"/>
      <c r="AG52" s="6"/>
      <c r="AH52" s="6"/>
      <c r="AI52" s="101">
        <f t="shared" si="1"/>
        <v>0</v>
      </c>
    </row>
    <row r="53" spans="1:35" x14ac:dyDescent="0.2">
      <c r="A53" s="16" t="s">
        <v>3</v>
      </c>
      <c r="B53" s="23"/>
      <c r="C53" s="23"/>
      <c r="D53" s="23"/>
      <c r="E53" s="214"/>
      <c r="F53" s="23"/>
      <c r="G53" s="6"/>
      <c r="H53" s="6">
        <v>615</v>
      </c>
      <c r="I53" s="6"/>
      <c r="J53" s="59"/>
      <c r="K53" s="47"/>
      <c r="L53" s="7">
        <v>40400</v>
      </c>
      <c r="M53" s="7"/>
      <c r="N53" s="32"/>
      <c r="O53" s="131"/>
      <c r="P53" s="6">
        <v>10000</v>
      </c>
      <c r="Q53" s="56"/>
      <c r="R53" s="59"/>
      <c r="S53" s="6"/>
      <c r="T53" s="23"/>
      <c r="U53" s="6"/>
      <c r="V53" s="6"/>
      <c r="W53" s="6"/>
      <c r="X53" s="6"/>
      <c r="Y53" s="24"/>
      <c r="Z53" s="159"/>
      <c r="AA53" s="6"/>
      <c r="AB53" s="24"/>
      <c r="AC53" s="159"/>
      <c r="AD53" s="6"/>
      <c r="AE53" s="6"/>
      <c r="AF53" s="23"/>
      <c r="AG53" s="6"/>
      <c r="AH53" s="6"/>
      <c r="AI53" s="101">
        <f t="shared" si="1"/>
        <v>0</v>
      </c>
    </row>
    <row r="54" spans="1:35" x14ac:dyDescent="0.2">
      <c r="A54" s="16" t="s">
        <v>1</v>
      </c>
      <c r="B54" s="23"/>
      <c r="C54" s="23"/>
      <c r="D54" s="23"/>
      <c r="E54" s="214"/>
      <c r="F54" s="23"/>
      <c r="G54" s="6"/>
      <c r="H54" s="6"/>
      <c r="I54" s="6"/>
      <c r="J54" s="59"/>
      <c r="K54" s="35"/>
      <c r="L54" s="7"/>
      <c r="M54" s="7"/>
      <c r="N54" s="32"/>
      <c r="O54" s="131"/>
      <c r="P54" s="6">
        <v>30000</v>
      </c>
      <c r="Q54" s="56"/>
      <c r="R54" s="59"/>
      <c r="S54" s="6"/>
      <c r="T54" s="23"/>
      <c r="U54" s="6">
        <v>65000</v>
      </c>
      <c r="V54" s="6"/>
      <c r="W54" s="6"/>
      <c r="X54" s="6"/>
      <c r="Y54" s="24"/>
      <c r="Z54" s="159"/>
      <c r="AA54" s="6"/>
      <c r="AB54" s="24"/>
      <c r="AC54" s="159"/>
      <c r="AD54" s="6"/>
      <c r="AE54" s="6"/>
      <c r="AF54" s="23"/>
      <c r="AG54" s="6"/>
      <c r="AH54" s="6"/>
      <c r="AI54" s="101">
        <f t="shared" si="1"/>
        <v>0</v>
      </c>
    </row>
    <row r="55" spans="1:35" x14ac:dyDescent="0.2">
      <c r="A55" s="16" t="s">
        <v>4</v>
      </c>
      <c r="B55" s="23"/>
      <c r="C55" s="23"/>
      <c r="D55" s="23"/>
      <c r="E55" s="214"/>
      <c r="F55" s="23"/>
      <c r="G55" s="6"/>
      <c r="H55" s="6">
        <v>375</v>
      </c>
      <c r="I55" s="6"/>
      <c r="J55" s="59"/>
      <c r="K55" s="47"/>
      <c r="L55" s="7">
        <v>50000</v>
      </c>
      <c r="M55" s="7"/>
      <c r="N55" s="32"/>
      <c r="O55" s="131"/>
      <c r="P55" s="6">
        <v>44625</v>
      </c>
      <c r="Q55" s="56"/>
      <c r="R55" s="59"/>
      <c r="S55" s="6"/>
      <c r="T55" s="23"/>
      <c r="U55" s="6"/>
      <c r="V55" s="6"/>
      <c r="W55" s="6"/>
      <c r="X55" s="6"/>
      <c r="Y55" s="24"/>
      <c r="Z55" s="159"/>
      <c r="AA55" s="6"/>
      <c r="AB55" s="24"/>
      <c r="AC55" s="159"/>
      <c r="AD55" s="6"/>
      <c r="AE55" s="6"/>
      <c r="AF55" s="23"/>
      <c r="AG55" s="6"/>
      <c r="AH55" s="6"/>
      <c r="AI55" s="101">
        <f t="shared" si="1"/>
        <v>0</v>
      </c>
    </row>
    <row r="56" spans="1:35" s="8" customFormat="1" x14ac:dyDescent="0.2">
      <c r="A56" s="17" t="s">
        <v>27</v>
      </c>
      <c r="B56" s="25">
        <f t="shared" ref="B56:U56" si="4">SUM(B38:B55)</f>
        <v>0</v>
      </c>
      <c r="C56" s="25">
        <f t="shared" si="4"/>
        <v>117740.91272000001</v>
      </c>
      <c r="D56" s="25">
        <f t="shared" si="4"/>
        <v>110050.73</v>
      </c>
      <c r="E56" s="142">
        <f t="shared" si="4"/>
        <v>98139.510000000009</v>
      </c>
      <c r="F56" s="199">
        <f t="shared" si="4"/>
        <v>37193.040000000001</v>
      </c>
      <c r="G56" s="191">
        <f t="shared" si="4"/>
        <v>92.8</v>
      </c>
      <c r="H56" s="191">
        <f t="shared" si="4"/>
        <v>990</v>
      </c>
      <c r="I56" s="191">
        <f t="shared" si="4"/>
        <v>45462.83</v>
      </c>
      <c r="J56" s="218">
        <f t="shared" si="4"/>
        <v>148420.13</v>
      </c>
      <c r="K56" s="199">
        <f t="shared" si="4"/>
        <v>22574</v>
      </c>
      <c r="L56" s="191">
        <f t="shared" si="4"/>
        <v>90400</v>
      </c>
      <c r="M56" s="191">
        <f t="shared" si="4"/>
        <v>56809</v>
      </c>
      <c r="N56" s="200">
        <f t="shared" si="4"/>
        <v>37011</v>
      </c>
      <c r="O56" s="169">
        <f t="shared" si="4"/>
        <v>52800</v>
      </c>
      <c r="P56" s="191">
        <f t="shared" si="4"/>
        <v>84625</v>
      </c>
      <c r="Q56" s="15">
        <f t="shared" si="4"/>
        <v>297925</v>
      </c>
      <c r="R56" s="60">
        <f t="shared" si="4"/>
        <v>46540</v>
      </c>
      <c r="S56" s="60">
        <f t="shared" si="4"/>
        <v>0</v>
      </c>
      <c r="T56" s="199">
        <f t="shared" si="4"/>
        <v>75900</v>
      </c>
      <c r="U56" s="191">
        <f t="shared" si="4"/>
        <v>65000</v>
      </c>
      <c r="V56" s="191">
        <f>SUM(V38:V55)</f>
        <v>0</v>
      </c>
      <c r="W56" s="191">
        <f t="shared" ref="W56:AH56" si="5">SUM(W38:W55)</f>
        <v>500825</v>
      </c>
      <c r="X56" s="191">
        <f t="shared" si="5"/>
        <v>297925</v>
      </c>
      <c r="Y56" s="200">
        <f t="shared" si="5"/>
        <v>26050</v>
      </c>
      <c r="Z56" s="191">
        <f t="shared" si="5"/>
        <v>85200</v>
      </c>
      <c r="AA56" s="191">
        <f t="shared" si="5"/>
        <v>634300</v>
      </c>
      <c r="AB56" s="200">
        <f t="shared" si="5"/>
        <v>569575</v>
      </c>
      <c r="AC56" s="15">
        <f t="shared" si="5"/>
        <v>0</v>
      </c>
      <c r="AD56" s="15">
        <f t="shared" si="5"/>
        <v>415052</v>
      </c>
      <c r="AE56" s="15">
        <f t="shared" si="5"/>
        <v>558625</v>
      </c>
      <c r="AF56" s="15">
        <f t="shared" si="5"/>
        <v>0</v>
      </c>
      <c r="AG56" s="15">
        <f t="shared" si="5"/>
        <v>0</v>
      </c>
      <c r="AH56" s="15">
        <f t="shared" si="5"/>
        <v>397800</v>
      </c>
      <c r="AI56" s="101">
        <f t="shared" si="1"/>
        <v>-47.167280000052415</v>
      </c>
    </row>
    <row r="57" spans="1:35" s="37" customFormat="1" ht="25.5" x14ac:dyDescent="0.2">
      <c r="A57" s="130" t="s">
        <v>69</v>
      </c>
      <c r="B57" s="43"/>
      <c r="C57" s="43"/>
      <c r="D57" s="43">
        <v>12148.69</v>
      </c>
      <c r="E57" s="213"/>
      <c r="F57" s="43"/>
      <c r="G57" s="44">
        <v>258.8</v>
      </c>
      <c r="H57" s="45"/>
      <c r="I57" s="45">
        <f>10049+2355.75</f>
        <v>12404.75</v>
      </c>
      <c r="J57" s="44">
        <v>258.8</v>
      </c>
      <c r="K57" s="43"/>
      <c r="L57" s="45"/>
      <c r="M57" s="45"/>
      <c r="N57" s="46">
        <v>24554</v>
      </c>
      <c r="O57" s="55"/>
      <c r="P57" s="45"/>
      <c r="Q57" s="55"/>
      <c r="R57" s="58"/>
      <c r="S57" s="45"/>
      <c r="T57" s="43"/>
      <c r="U57" s="45"/>
      <c r="V57" s="45"/>
      <c r="W57" s="45"/>
      <c r="X57" s="45"/>
      <c r="Y57" s="46"/>
      <c r="Z57" s="146"/>
      <c r="AA57" s="45"/>
      <c r="AB57" s="46"/>
      <c r="AC57" s="146"/>
      <c r="AD57" s="45"/>
      <c r="AE57" s="45"/>
      <c r="AF57" s="43"/>
      <c r="AG57" s="45"/>
      <c r="AH57" s="45"/>
      <c r="AI57" s="101">
        <f t="shared" si="1"/>
        <v>-259.35999999999694</v>
      </c>
    </row>
    <row r="58" spans="1:35" s="37" customFormat="1" x14ac:dyDescent="0.2">
      <c r="A58" s="130" t="s">
        <v>70</v>
      </c>
      <c r="B58" s="43"/>
      <c r="C58" s="43"/>
      <c r="D58" s="43">
        <v>5289.39</v>
      </c>
      <c r="E58" s="213"/>
      <c r="F58" s="43"/>
      <c r="G58" s="44">
        <v>94.01</v>
      </c>
      <c r="H58" s="45"/>
      <c r="I58" s="45">
        <f>6604+1011.92</f>
        <v>7615.92</v>
      </c>
      <c r="J58" s="44">
        <v>94.01</v>
      </c>
      <c r="K58" s="43"/>
      <c r="L58" s="45"/>
      <c r="M58" s="45"/>
      <c r="N58" s="46">
        <v>12906</v>
      </c>
      <c r="O58" s="55"/>
      <c r="P58" s="45"/>
      <c r="Q58" s="55"/>
      <c r="R58" s="58"/>
      <c r="S58" s="45"/>
      <c r="T58" s="43"/>
      <c r="U58" s="45"/>
      <c r="V58" s="45"/>
      <c r="W58" s="45"/>
      <c r="X58" s="45"/>
      <c r="Y58" s="46"/>
      <c r="Z58" s="146"/>
      <c r="AA58" s="45"/>
      <c r="AB58" s="46"/>
      <c r="AC58" s="146"/>
      <c r="AD58" s="45"/>
      <c r="AE58" s="45"/>
      <c r="AF58" s="43"/>
      <c r="AG58" s="45"/>
      <c r="AH58" s="45"/>
      <c r="AI58" s="101">
        <f t="shared" si="1"/>
        <v>-94.699999999998909</v>
      </c>
    </row>
    <row r="59" spans="1:35" s="37" customFormat="1" ht="25.5" x14ac:dyDescent="0.2">
      <c r="A59" s="130" t="s">
        <v>71</v>
      </c>
      <c r="B59" s="43"/>
      <c r="C59" s="43"/>
      <c r="D59" s="43">
        <v>9693.66</v>
      </c>
      <c r="E59" s="213"/>
      <c r="F59" s="43"/>
      <c r="G59" s="44">
        <v>223.25</v>
      </c>
      <c r="H59" s="45"/>
      <c r="I59" s="45">
        <f>9172+2111.11</f>
        <v>11283.11</v>
      </c>
      <c r="J59" s="44">
        <v>223.25</v>
      </c>
      <c r="K59" s="43"/>
      <c r="L59" s="45"/>
      <c r="M59" s="45"/>
      <c r="N59" s="46">
        <v>20977</v>
      </c>
      <c r="O59" s="55"/>
      <c r="P59" s="45"/>
      <c r="Q59" s="55"/>
      <c r="R59" s="58"/>
      <c r="S59" s="45"/>
      <c r="T59" s="43"/>
      <c r="U59" s="45"/>
      <c r="V59" s="45"/>
      <c r="W59" s="45"/>
      <c r="X59" s="45"/>
      <c r="Y59" s="46"/>
      <c r="Z59" s="146"/>
      <c r="AA59" s="45"/>
      <c r="AB59" s="46"/>
      <c r="AC59" s="146"/>
      <c r="AD59" s="45"/>
      <c r="AE59" s="45"/>
      <c r="AF59" s="43"/>
      <c r="AG59" s="45"/>
      <c r="AH59" s="45"/>
      <c r="AI59" s="101">
        <f t="shared" si="1"/>
        <v>-223.47999999999956</v>
      </c>
    </row>
    <row r="60" spans="1:35" s="37" customFormat="1" x14ac:dyDescent="0.2">
      <c r="A60" s="130" t="s">
        <v>252</v>
      </c>
      <c r="B60" s="43"/>
      <c r="C60" s="43"/>
      <c r="D60" s="43"/>
      <c r="E60" s="213"/>
      <c r="F60" s="43"/>
      <c r="G60" s="44"/>
      <c r="H60" s="45"/>
      <c r="I60" s="45"/>
      <c r="J60" s="272"/>
      <c r="K60" s="43"/>
      <c r="L60" s="45"/>
      <c r="M60" s="45">
        <v>7900</v>
      </c>
      <c r="N60" s="46"/>
      <c r="O60" s="55"/>
      <c r="P60" s="45"/>
      <c r="Q60" s="55">
        <v>7900</v>
      </c>
      <c r="R60" s="58"/>
      <c r="S60" s="45"/>
      <c r="T60" s="43"/>
      <c r="U60" s="45"/>
      <c r="V60" s="45"/>
      <c r="W60" s="45"/>
      <c r="X60" s="45"/>
      <c r="Y60" s="46">
        <v>15800</v>
      </c>
      <c r="Z60" s="146"/>
      <c r="AA60" s="45"/>
      <c r="AB60" s="46"/>
      <c r="AC60" s="146"/>
      <c r="AD60" s="45"/>
      <c r="AE60" s="45"/>
      <c r="AF60" s="43"/>
      <c r="AG60" s="45"/>
      <c r="AH60" s="45"/>
      <c r="AI60" s="101"/>
    </row>
    <row r="61" spans="1:35" s="37" customFormat="1" ht="25.5" x14ac:dyDescent="0.2">
      <c r="A61" s="130" t="s">
        <v>72</v>
      </c>
      <c r="B61" s="43"/>
      <c r="C61" s="43"/>
      <c r="D61" s="43"/>
      <c r="E61" s="213"/>
      <c r="F61" s="43"/>
      <c r="G61" s="45"/>
      <c r="H61" s="45"/>
      <c r="I61" s="45">
        <v>12830.33</v>
      </c>
      <c r="J61" s="58"/>
      <c r="K61" s="43"/>
      <c r="L61" s="45"/>
      <c r="M61" s="45">
        <v>18658</v>
      </c>
      <c r="N61" s="46"/>
      <c r="O61" s="55"/>
      <c r="P61" s="45"/>
      <c r="Q61" s="55"/>
      <c r="R61" s="58">
        <v>31488</v>
      </c>
      <c r="S61" s="45"/>
      <c r="T61" s="43"/>
      <c r="U61" s="45"/>
      <c r="V61" s="45"/>
      <c r="W61" s="45"/>
      <c r="X61" s="45"/>
      <c r="Y61" s="46"/>
      <c r="Z61" s="146"/>
      <c r="AA61" s="45"/>
      <c r="AB61" s="46"/>
      <c r="AC61" s="146"/>
      <c r="AD61" s="45"/>
      <c r="AE61" s="45"/>
      <c r="AF61" s="43"/>
      <c r="AG61" s="45"/>
      <c r="AH61" s="45"/>
      <c r="AI61" s="101">
        <f t="shared" si="1"/>
        <v>0.33000000000174623</v>
      </c>
    </row>
    <row r="62" spans="1:35" s="37" customFormat="1" x14ac:dyDescent="0.2">
      <c r="A62" s="130" t="s">
        <v>73</v>
      </c>
      <c r="B62" s="43"/>
      <c r="C62" s="43"/>
      <c r="D62" s="43"/>
      <c r="E62" s="213"/>
      <c r="F62" s="43"/>
      <c r="G62" s="45"/>
      <c r="H62" s="89">
        <v>28791.3</v>
      </c>
      <c r="I62" s="45">
        <v>11792</v>
      </c>
      <c r="J62" s="58"/>
      <c r="K62" s="43"/>
      <c r="L62" s="45">
        <v>68375</v>
      </c>
      <c r="M62" s="45">
        <v>19625</v>
      </c>
      <c r="N62" s="46"/>
      <c r="O62" s="55"/>
      <c r="P62" s="45">
        <v>60950</v>
      </c>
      <c r="Q62" s="55">
        <v>16792</v>
      </c>
      <c r="R62" s="58">
        <v>48209</v>
      </c>
      <c r="S62" s="45"/>
      <c r="T62" s="43"/>
      <c r="U62" s="45"/>
      <c r="V62" s="45"/>
      <c r="W62" s="45"/>
      <c r="X62" s="45"/>
      <c r="Y62" s="46"/>
      <c r="Z62" s="146"/>
      <c r="AA62" s="45"/>
      <c r="AB62" s="46"/>
      <c r="AC62" s="146"/>
      <c r="AD62" s="45"/>
      <c r="AE62" s="45"/>
      <c r="AF62" s="43"/>
      <c r="AG62" s="45"/>
      <c r="AH62" s="45"/>
      <c r="AI62" s="101">
        <f>C62+D62+I62+M62+Q62+V62-E62-J62-N62-R62-X62</f>
        <v>0</v>
      </c>
    </row>
    <row r="63" spans="1:35" s="37" customFormat="1" ht="25.5" x14ac:dyDescent="0.2">
      <c r="A63" s="130" t="s">
        <v>74</v>
      </c>
      <c r="B63" s="43"/>
      <c r="C63" s="43"/>
      <c r="D63" s="43"/>
      <c r="E63" s="213"/>
      <c r="F63" s="43"/>
      <c r="G63" s="45"/>
      <c r="H63" s="45">
        <v>7525</v>
      </c>
      <c r="I63" s="45">
        <v>2975</v>
      </c>
      <c r="J63" s="58"/>
      <c r="K63" s="43"/>
      <c r="L63" s="45">
        <v>22984</v>
      </c>
      <c r="M63" s="45">
        <v>516</v>
      </c>
      <c r="N63" s="46">
        <v>0</v>
      </c>
      <c r="O63" s="55"/>
      <c r="P63" s="45">
        <v>19995</v>
      </c>
      <c r="Q63" s="55">
        <v>525</v>
      </c>
      <c r="R63" s="58">
        <v>4016</v>
      </c>
      <c r="S63" s="45"/>
      <c r="T63" s="43"/>
      <c r="U63" s="45"/>
      <c r="V63" s="45"/>
      <c r="W63" s="45"/>
      <c r="X63" s="45"/>
      <c r="Y63" s="46"/>
      <c r="Z63" s="146"/>
      <c r="AA63" s="45"/>
      <c r="AB63" s="46"/>
      <c r="AC63" s="146"/>
      <c r="AD63" s="45"/>
      <c r="AE63" s="45"/>
      <c r="AF63" s="43"/>
      <c r="AG63" s="45"/>
      <c r="AH63" s="45"/>
      <c r="AI63" s="101">
        <f>C63+D63+I63+M63+Q63+V63-E63-J63-N63-R63-X63</f>
        <v>0</v>
      </c>
    </row>
    <row r="64" spans="1:35" s="37" customFormat="1" ht="15" x14ac:dyDescent="0.25">
      <c r="A64" s="130" t="s">
        <v>75</v>
      </c>
      <c r="B64" s="43"/>
      <c r="C64" s="43"/>
      <c r="D64" s="43"/>
      <c r="E64" s="213"/>
      <c r="F64" s="43"/>
      <c r="G64" s="45"/>
      <c r="H64" s="45"/>
      <c r="I64" s="45">
        <v>7800</v>
      </c>
      <c r="J64" s="58"/>
      <c r="K64" s="43"/>
      <c r="L64" s="45"/>
      <c r="M64" s="103">
        <v>13283</v>
      </c>
      <c r="N64" s="46"/>
      <c r="O64" s="55"/>
      <c r="P64" s="45"/>
      <c r="Q64" s="55"/>
      <c r="R64" s="58">
        <v>21083</v>
      </c>
      <c r="S64" s="45"/>
      <c r="T64" s="43"/>
      <c r="U64" s="45"/>
      <c r="V64" s="45"/>
      <c r="W64" s="45"/>
      <c r="X64" s="45"/>
      <c r="Y64" s="46"/>
      <c r="Z64" s="146"/>
      <c r="AA64" s="45"/>
      <c r="AB64" s="46"/>
      <c r="AC64" s="146"/>
      <c r="AD64" s="45"/>
      <c r="AE64" s="45"/>
      <c r="AF64" s="43"/>
      <c r="AG64" s="45"/>
      <c r="AH64" s="45"/>
      <c r="AI64" s="101">
        <f t="shared" si="1"/>
        <v>0</v>
      </c>
    </row>
    <row r="65" spans="1:35" s="37" customFormat="1" x14ac:dyDescent="0.2">
      <c r="A65" s="130" t="s">
        <v>76</v>
      </c>
      <c r="B65" s="43"/>
      <c r="C65" s="43"/>
      <c r="D65" s="43"/>
      <c r="E65" s="213"/>
      <c r="F65" s="43"/>
      <c r="G65" s="45"/>
      <c r="H65" s="45"/>
      <c r="I65" s="45"/>
      <c r="J65" s="58"/>
      <c r="K65" s="43"/>
      <c r="L65" s="45"/>
      <c r="M65" s="7">
        <v>0</v>
      </c>
      <c r="N65" s="46"/>
      <c r="O65" s="55"/>
      <c r="P65" s="45"/>
      <c r="Q65" s="55">
        <v>0</v>
      </c>
      <c r="R65" s="58">
        <v>0</v>
      </c>
      <c r="S65" s="45"/>
      <c r="T65" s="43"/>
      <c r="U65" s="45"/>
      <c r="V65" s="45"/>
      <c r="W65" s="45"/>
      <c r="X65" s="45"/>
      <c r="Y65" s="46"/>
      <c r="Z65" s="146"/>
      <c r="AA65" s="45"/>
      <c r="AB65" s="46"/>
      <c r="AC65" s="146"/>
      <c r="AD65" s="45"/>
      <c r="AE65" s="45"/>
      <c r="AF65" s="43"/>
      <c r="AG65" s="45"/>
      <c r="AH65" s="45"/>
      <c r="AI65" s="101">
        <f t="shared" si="1"/>
        <v>0</v>
      </c>
    </row>
    <row r="66" spans="1:35" x14ac:dyDescent="0.2">
      <c r="A66" s="18" t="s">
        <v>151</v>
      </c>
      <c r="B66" s="31"/>
      <c r="C66" s="31"/>
      <c r="D66" s="31"/>
      <c r="E66" s="216"/>
      <c r="F66" s="31"/>
      <c r="G66" s="7"/>
      <c r="H66" s="7">
        <v>0</v>
      </c>
      <c r="I66" s="7"/>
      <c r="J66" s="62"/>
      <c r="K66" s="43"/>
      <c r="L66" s="7">
        <v>0</v>
      </c>
      <c r="M66" s="7"/>
      <c r="N66" s="32"/>
      <c r="O66" s="131"/>
      <c r="P66" s="7"/>
      <c r="Q66" s="131"/>
      <c r="R66" s="62"/>
      <c r="S66" s="6"/>
      <c r="T66" s="31"/>
      <c r="U66" s="6"/>
      <c r="V66" s="6"/>
      <c r="W66" s="6"/>
      <c r="X66" s="6"/>
      <c r="Y66" s="24"/>
      <c r="Z66" s="159"/>
      <c r="AA66" s="6"/>
      <c r="AB66" s="24"/>
      <c r="AC66" s="159"/>
      <c r="AD66" s="6"/>
      <c r="AE66" s="6"/>
      <c r="AF66" s="23"/>
      <c r="AG66" s="6"/>
      <c r="AH66" s="6"/>
      <c r="AI66" s="101">
        <f t="shared" si="1"/>
        <v>0</v>
      </c>
    </row>
    <row r="67" spans="1:35" x14ac:dyDescent="0.2">
      <c r="A67" s="251" t="s">
        <v>211</v>
      </c>
      <c r="B67" s="31"/>
      <c r="C67" s="31"/>
      <c r="D67" s="31"/>
      <c r="E67" s="216"/>
      <c r="F67" s="31"/>
      <c r="G67" s="7"/>
      <c r="H67" s="7"/>
      <c r="I67" s="7"/>
      <c r="J67" s="62"/>
      <c r="K67" s="43"/>
      <c r="L67" s="7"/>
      <c r="M67" s="7"/>
      <c r="N67" s="32"/>
      <c r="O67" s="131"/>
      <c r="P67" s="7"/>
      <c r="Q67" s="273">
        <v>12750</v>
      </c>
      <c r="R67" s="62"/>
      <c r="S67" s="6"/>
      <c r="T67" s="31"/>
      <c r="U67" s="6"/>
      <c r="V67" s="6"/>
      <c r="W67" s="6">
        <v>97750</v>
      </c>
      <c r="X67" s="274">
        <v>10200</v>
      </c>
      <c r="Y67" s="24">
        <v>52250</v>
      </c>
      <c r="Z67" s="159"/>
      <c r="AA67" s="6">
        <v>139500</v>
      </c>
      <c r="AB67" s="24">
        <v>145000</v>
      </c>
      <c r="AC67" s="159"/>
      <c r="AD67" s="6"/>
      <c r="AE67" s="6">
        <v>40000</v>
      </c>
      <c r="AF67" s="23"/>
      <c r="AG67" s="6"/>
      <c r="AH67" s="6"/>
      <c r="AI67" s="101">
        <f>C67+D67+I67+M67+Q67+V67-E67-J67-N67-R67-X67</f>
        <v>2550</v>
      </c>
    </row>
    <row r="68" spans="1:35" x14ac:dyDescent="0.2">
      <c r="A68" s="242" t="s">
        <v>24</v>
      </c>
      <c r="B68" s="31"/>
      <c r="C68" s="31"/>
      <c r="D68" s="31"/>
      <c r="E68" s="216"/>
      <c r="F68" s="31"/>
      <c r="G68" s="7"/>
      <c r="H68" s="7">
        <v>0</v>
      </c>
      <c r="I68" s="7"/>
      <c r="J68" s="62"/>
      <c r="K68" s="43"/>
      <c r="L68" s="7">
        <v>97731</v>
      </c>
      <c r="M68" s="45">
        <v>37794</v>
      </c>
      <c r="N68" s="46">
        <v>37794</v>
      </c>
      <c r="O68" s="243">
        <v>46900</v>
      </c>
      <c r="P68" s="7">
        <v>19761</v>
      </c>
      <c r="Q68" s="131"/>
      <c r="R68" s="62"/>
      <c r="S68" s="6"/>
      <c r="T68" s="31"/>
      <c r="U68" s="6"/>
      <c r="V68" s="6"/>
      <c r="W68" s="6"/>
      <c r="X68" s="6"/>
      <c r="Y68" s="24"/>
      <c r="Z68" s="159"/>
      <c r="AA68" s="6"/>
      <c r="AB68" s="24"/>
      <c r="AC68" s="159"/>
      <c r="AD68" s="6"/>
      <c r="AE68" s="6"/>
      <c r="AF68" s="23"/>
      <c r="AG68" s="6"/>
      <c r="AH68" s="6"/>
      <c r="AI68" s="101">
        <f t="shared" si="1"/>
        <v>0</v>
      </c>
    </row>
    <row r="69" spans="1:35" ht="25.5" x14ac:dyDescent="0.2">
      <c r="A69" s="242" t="s">
        <v>23</v>
      </c>
      <c r="B69" s="31"/>
      <c r="C69" s="31"/>
      <c r="D69" s="31"/>
      <c r="E69" s="216"/>
      <c r="F69" s="31">
        <v>38.97</v>
      </c>
      <c r="G69" s="7"/>
      <c r="H69" s="7">
        <v>17961.03</v>
      </c>
      <c r="I69" s="7">
        <v>0</v>
      </c>
      <c r="J69" s="62">
        <v>0</v>
      </c>
      <c r="K69" s="43"/>
      <c r="L69" s="7">
        <v>165000</v>
      </c>
      <c r="M69" s="7">
        <v>65000</v>
      </c>
      <c r="N69" s="32">
        <v>65000</v>
      </c>
      <c r="O69" s="131"/>
      <c r="P69" s="7">
        <v>112039</v>
      </c>
      <c r="Q69" s="131"/>
      <c r="R69" s="62"/>
      <c r="S69" s="6"/>
      <c r="T69" s="31"/>
      <c r="U69" s="6"/>
      <c r="V69" s="6"/>
      <c r="W69" s="6"/>
      <c r="X69" s="6"/>
      <c r="Y69" s="24"/>
      <c r="Z69" s="159"/>
      <c r="AA69" s="6"/>
      <c r="AB69" s="24"/>
      <c r="AC69" s="159"/>
      <c r="AD69" s="6"/>
      <c r="AE69" s="6"/>
      <c r="AF69" s="23"/>
      <c r="AG69" s="6"/>
      <c r="AH69" s="6"/>
      <c r="AI69" s="101">
        <f t="shared" si="1"/>
        <v>0</v>
      </c>
    </row>
    <row r="70" spans="1:35" ht="25.5" x14ac:dyDescent="0.2">
      <c r="A70" s="18" t="s">
        <v>160</v>
      </c>
      <c r="B70" s="31"/>
      <c r="C70" s="31"/>
      <c r="D70" s="31"/>
      <c r="E70" s="216"/>
      <c r="F70" s="31"/>
      <c r="G70" s="7"/>
      <c r="H70" s="7">
        <v>10650</v>
      </c>
      <c r="I70" s="7"/>
      <c r="J70" s="62"/>
      <c r="K70" s="43"/>
      <c r="L70" s="7">
        <v>2850</v>
      </c>
      <c r="M70" s="7"/>
      <c r="N70" s="32"/>
      <c r="O70" s="131"/>
      <c r="P70" s="7"/>
      <c r="Q70" s="131"/>
      <c r="R70" s="62"/>
      <c r="S70" s="6"/>
      <c r="T70" s="31"/>
      <c r="U70" s="6"/>
      <c r="V70" s="6"/>
      <c r="W70" s="6"/>
      <c r="X70" s="6"/>
      <c r="Y70" s="24"/>
      <c r="Z70" s="159"/>
      <c r="AA70" s="6"/>
      <c r="AB70" s="24"/>
      <c r="AC70" s="159"/>
      <c r="AD70" s="6"/>
      <c r="AE70" s="6"/>
      <c r="AF70" s="23"/>
      <c r="AG70" s="6"/>
      <c r="AH70" s="6"/>
      <c r="AI70" s="101">
        <f t="shared" si="1"/>
        <v>0</v>
      </c>
    </row>
    <row r="71" spans="1:35" x14ac:dyDescent="0.2">
      <c r="A71" s="18" t="s">
        <v>249</v>
      </c>
      <c r="B71" s="31"/>
      <c r="C71" s="31"/>
      <c r="D71" s="31"/>
      <c r="E71" s="216"/>
      <c r="F71" s="31"/>
      <c r="G71" s="7"/>
      <c r="H71" s="7">
        <v>11814</v>
      </c>
      <c r="I71" s="7"/>
      <c r="J71" s="62"/>
      <c r="K71" s="43"/>
      <c r="L71" s="7"/>
      <c r="M71" s="7"/>
      <c r="N71" s="32"/>
      <c r="O71" s="131"/>
      <c r="P71" s="7"/>
      <c r="Q71" s="131"/>
      <c r="R71" s="62"/>
      <c r="S71" s="6"/>
      <c r="T71" s="31"/>
      <c r="U71" s="6"/>
      <c r="V71" s="6"/>
      <c r="W71" s="6"/>
      <c r="X71" s="6"/>
      <c r="Y71" s="24"/>
      <c r="Z71" s="159"/>
      <c r="AA71" s="6"/>
      <c r="AB71" s="24"/>
      <c r="AC71" s="159"/>
      <c r="AD71" s="6"/>
      <c r="AE71" s="6"/>
      <c r="AF71" s="23"/>
      <c r="AG71" s="6"/>
      <c r="AH71" s="6"/>
      <c r="AI71" s="101">
        <f t="shared" si="1"/>
        <v>0</v>
      </c>
    </row>
    <row r="72" spans="1:35" ht="25.5" x14ac:dyDescent="0.2">
      <c r="A72" s="18" t="s">
        <v>241</v>
      </c>
      <c r="B72" s="31"/>
      <c r="C72" s="31"/>
      <c r="D72" s="31"/>
      <c r="E72" s="216"/>
      <c r="F72" s="31"/>
      <c r="G72" s="7"/>
      <c r="H72" s="7">
        <v>6329.89</v>
      </c>
      <c r="I72" s="7"/>
      <c r="J72" s="62"/>
      <c r="K72" s="43"/>
      <c r="L72" s="7"/>
      <c r="M72" s="7"/>
      <c r="N72" s="32"/>
      <c r="O72" s="131"/>
      <c r="P72" s="7"/>
      <c r="Q72" s="131"/>
      <c r="R72" s="62"/>
      <c r="S72" s="6"/>
      <c r="T72" s="31"/>
      <c r="U72" s="6"/>
      <c r="V72" s="6"/>
      <c r="W72" s="6"/>
      <c r="X72" s="6"/>
      <c r="Y72" s="24"/>
      <c r="Z72" s="159"/>
      <c r="AA72" s="6"/>
      <c r="AB72" s="24"/>
      <c r="AC72" s="159"/>
      <c r="AD72" s="6"/>
      <c r="AE72" s="6"/>
      <c r="AF72" s="23"/>
      <c r="AG72" s="6"/>
      <c r="AH72" s="6"/>
      <c r="AI72" s="101">
        <f t="shared" si="1"/>
        <v>0</v>
      </c>
    </row>
    <row r="73" spans="1:35" ht="38.25" x14ac:dyDescent="0.2">
      <c r="A73" s="18" t="s">
        <v>242</v>
      </c>
      <c r="B73" s="31"/>
      <c r="C73" s="31"/>
      <c r="D73" s="31"/>
      <c r="E73" s="216"/>
      <c r="F73" s="31"/>
      <c r="G73" s="7"/>
      <c r="H73" s="7">
        <v>13185.7</v>
      </c>
      <c r="I73" s="7"/>
      <c r="J73" s="62"/>
      <c r="K73" s="43"/>
      <c r="L73" s="7"/>
      <c r="M73" s="7"/>
      <c r="N73" s="32"/>
      <c r="O73" s="131"/>
      <c r="P73" s="7"/>
      <c r="Q73" s="131"/>
      <c r="R73" s="62"/>
      <c r="S73" s="6"/>
      <c r="T73" s="31"/>
      <c r="U73" s="6"/>
      <c r="V73" s="6"/>
      <c r="W73" s="6"/>
      <c r="X73" s="6"/>
      <c r="Y73" s="24"/>
      <c r="Z73" s="159"/>
      <c r="AA73" s="6"/>
      <c r="AB73" s="24"/>
      <c r="AC73" s="159"/>
      <c r="AD73" s="6"/>
      <c r="AE73" s="6"/>
      <c r="AF73" s="23"/>
      <c r="AG73" s="6"/>
      <c r="AH73" s="6"/>
      <c r="AI73" s="101">
        <f t="shared" si="1"/>
        <v>0</v>
      </c>
    </row>
    <row r="74" spans="1:35" s="8" customFormat="1" x14ac:dyDescent="0.2">
      <c r="A74" s="17" t="s">
        <v>30</v>
      </c>
      <c r="B74" s="25">
        <f t="shared" ref="B74:AH74" si="6">SUM(B57:B73)</f>
        <v>0</v>
      </c>
      <c r="C74" s="25">
        <f t="shared" si="6"/>
        <v>0</v>
      </c>
      <c r="D74" s="25">
        <f t="shared" si="6"/>
        <v>27131.74</v>
      </c>
      <c r="E74" s="25">
        <f t="shared" si="6"/>
        <v>0</v>
      </c>
      <c r="F74" s="25">
        <f t="shared" si="6"/>
        <v>38.97</v>
      </c>
      <c r="G74" s="25">
        <f t="shared" si="6"/>
        <v>576.05999999999995</v>
      </c>
      <c r="H74" s="25">
        <f t="shared" si="6"/>
        <v>96256.92</v>
      </c>
      <c r="I74" s="25">
        <f t="shared" si="6"/>
        <v>66701.11</v>
      </c>
      <c r="J74" s="25">
        <f t="shared" si="6"/>
        <v>576.05999999999995</v>
      </c>
      <c r="K74" s="25">
        <f t="shared" si="6"/>
        <v>0</v>
      </c>
      <c r="L74" s="25">
        <f t="shared" si="6"/>
        <v>356940</v>
      </c>
      <c r="M74" s="25">
        <f t="shared" si="6"/>
        <v>162776</v>
      </c>
      <c r="N74" s="25">
        <f t="shared" si="6"/>
        <v>161231</v>
      </c>
      <c r="O74" s="25">
        <f t="shared" si="6"/>
        <v>46900</v>
      </c>
      <c r="P74" s="25">
        <f t="shared" si="6"/>
        <v>212745</v>
      </c>
      <c r="Q74" s="25">
        <f t="shared" si="6"/>
        <v>37967</v>
      </c>
      <c r="R74" s="25">
        <f t="shared" si="6"/>
        <v>104796</v>
      </c>
      <c r="S74" s="25">
        <f t="shared" si="6"/>
        <v>0</v>
      </c>
      <c r="T74" s="25">
        <f t="shared" si="6"/>
        <v>0</v>
      </c>
      <c r="U74" s="25">
        <f t="shared" si="6"/>
        <v>0</v>
      </c>
      <c r="V74" s="25">
        <f t="shared" si="6"/>
        <v>0</v>
      </c>
      <c r="W74" s="25">
        <f t="shared" si="6"/>
        <v>97750</v>
      </c>
      <c r="X74" s="25">
        <f t="shared" si="6"/>
        <v>10200</v>
      </c>
      <c r="Y74" s="25">
        <f t="shared" si="6"/>
        <v>68050</v>
      </c>
      <c r="Z74" s="25">
        <f t="shared" si="6"/>
        <v>0</v>
      </c>
      <c r="AA74" s="25">
        <f t="shared" si="6"/>
        <v>139500</v>
      </c>
      <c r="AB74" s="25">
        <f t="shared" si="6"/>
        <v>145000</v>
      </c>
      <c r="AC74" s="25">
        <f t="shared" si="6"/>
        <v>0</v>
      </c>
      <c r="AD74" s="25">
        <f t="shared" si="6"/>
        <v>0</v>
      </c>
      <c r="AE74" s="25">
        <f t="shared" si="6"/>
        <v>40000</v>
      </c>
      <c r="AF74" s="25">
        <f t="shared" si="6"/>
        <v>0</v>
      </c>
      <c r="AG74" s="25">
        <f t="shared" si="6"/>
        <v>0</v>
      </c>
      <c r="AH74" s="25">
        <f t="shared" si="6"/>
        <v>0</v>
      </c>
      <c r="AI74" s="101">
        <f t="shared" si="1"/>
        <v>17772.789999999979</v>
      </c>
    </row>
    <row r="75" spans="1:35" s="37" customFormat="1" x14ac:dyDescent="0.2">
      <c r="A75" s="128" t="s">
        <v>102</v>
      </c>
      <c r="B75" s="43"/>
      <c r="C75" s="43"/>
      <c r="D75" s="43"/>
      <c r="E75" s="213"/>
      <c r="F75" s="43"/>
      <c r="G75" s="45"/>
      <c r="H75" s="45"/>
      <c r="I75" s="45"/>
      <c r="J75" s="58"/>
      <c r="K75" s="43"/>
      <c r="L75" s="45"/>
      <c r="M75" s="45">
        <v>0</v>
      </c>
      <c r="N75" s="46"/>
      <c r="O75" s="55"/>
      <c r="P75" s="45"/>
      <c r="Q75" s="55">
        <v>17000</v>
      </c>
      <c r="R75" s="58">
        <v>17000</v>
      </c>
      <c r="S75" s="45"/>
      <c r="T75" s="43"/>
      <c r="U75" s="45"/>
      <c r="V75" s="45"/>
      <c r="W75" s="45"/>
      <c r="X75" s="45"/>
      <c r="Y75" s="46"/>
      <c r="Z75" s="146"/>
      <c r="AA75" s="45"/>
      <c r="AB75" s="46"/>
      <c r="AC75" s="146"/>
      <c r="AD75" s="45"/>
      <c r="AE75" s="45"/>
      <c r="AF75" s="43"/>
      <c r="AG75" s="45"/>
      <c r="AH75" s="45"/>
      <c r="AI75" s="101">
        <f t="shared" si="1"/>
        <v>0</v>
      </c>
    </row>
    <row r="76" spans="1:35" s="37" customFormat="1" x14ac:dyDescent="0.2">
      <c r="A76" s="128" t="s">
        <v>194</v>
      </c>
      <c r="B76" s="43"/>
      <c r="C76" s="43">
        <v>569</v>
      </c>
      <c r="D76" s="43"/>
      <c r="E76" s="213"/>
      <c r="F76" s="43"/>
      <c r="G76" s="45"/>
      <c r="H76" s="45"/>
      <c r="I76" s="45"/>
      <c r="J76" s="58"/>
      <c r="K76" s="43"/>
      <c r="L76" s="45"/>
      <c r="M76" s="45"/>
      <c r="N76" s="46"/>
      <c r="O76" s="55"/>
      <c r="P76" s="45"/>
      <c r="Q76" s="55"/>
      <c r="R76" s="58"/>
      <c r="S76" s="45"/>
      <c r="T76" s="43"/>
      <c r="U76" s="45"/>
      <c r="V76" s="45"/>
      <c r="W76" s="45"/>
      <c r="X76" s="45"/>
      <c r="Y76" s="46"/>
      <c r="Z76" s="146"/>
      <c r="AA76" s="45"/>
      <c r="AB76" s="46"/>
      <c r="AC76" s="146"/>
      <c r="AD76" s="45"/>
      <c r="AE76" s="45"/>
      <c r="AF76" s="43"/>
      <c r="AG76" s="45"/>
      <c r="AH76" s="45"/>
      <c r="AI76" s="229">
        <f t="shared" si="1"/>
        <v>569</v>
      </c>
    </row>
    <row r="77" spans="1:35" s="37" customFormat="1" x14ac:dyDescent="0.2">
      <c r="A77" s="128" t="s">
        <v>103</v>
      </c>
      <c r="B77" s="43"/>
      <c r="C77" s="43"/>
      <c r="D77" s="43">
        <v>1730.77</v>
      </c>
      <c r="E77" s="213"/>
      <c r="F77" s="43"/>
      <c r="G77" s="45"/>
      <c r="H77" s="45"/>
      <c r="I77" s="45">
        <v>4937</v>
      </c>
      <c r="J77" s="58"/>
      <c r="K77" s="43"/>
      <c r="L77" s="45"/>
      <c r="M77" s="45">
        <v>0</v>
      </c>
      <c r="N77" s="46">
        <v>6668</v>
      </c>
      <c r="O77" s="55"/>
      <c r="P77" s="45"/>
      <c r="Q77" s="55"/>
      <c r="R77" s="58"/>
      <c r="S77" s="45"/>
      <c r="T77" s="43"/>
      <c r="U77" s="45"/>
      <c r="V77" s="45"/>
      <c r="W77" s="45"/>
      <c r="X77" s="45"/>
      <c r="Y77" s="46"/>
      <c r="Z77" s="146"/>
      <c r="AA77" s="45"/>
      <c r="AB77" s="46"/>
      <c r="AC77" s="146"/>
      <c r="AD77" s="45"/>
      <c r="AE77" s="45"/>
      <c r="AF77" s="43"/>
      <c r="AG77" s="45"/>
      <c r="AH77" s="45"/>
      <c r="AI77" s="101">
        <f t="shared" si="1"/>
        <v>-0.22999999999956344</v>
      </c>
    </row>
    <row r="78" spans="1:35" s="37" customFormat="1" x14ac:dyDescent="0.2">
      <c r="A78" s="128" t="s">
        <v>104</v>
      </c>
      <c r="B78" s="43"/>
      <c r="C78" s="43"/>
      <c r="D78" s="43">
        <v>2331.21</v>
      </c>
      <c r="E78" s="213"/>
      <c r="F78" s="43"/>
      <c r="G78" s="45"/>
      <c r="H78" s="45"/>
      <c r="I78" s="45">
        <v>17968.79</v>
      </c>
      <c r="J78" s="58"/>
      <c r="K78" s="43"/>
      <c r="L78" s="45"/>
      <c r="M78" s="45">
        <v>7000</v>
      </c>
      <c r="N78" s="46"/>
      <c r="O78" s="55"/>
      <c r="P78" s="45"/>
      <c r="Q78" s="55"/>
      <c r="R78" s="58">
        <v>27300</v>
      </c>
      <c r="S78" s="45"/>
      <c r="T78" s="43"/>
      <c r="U78" s="45"/>
      <c r="V78" s="45"/>
      <c r="W78" s="45"/>
      <c r="X78" s="45"/>
      <c r="Y78" s="46"/>
      <c r="Z78" s="146"/>
      <c r="AA78" s="45"/>
      <c r="AB78" s="46"/>
      <c r="AC78" s="146"/>
      <c r="AD78" s="45"/>
      <c r="AE78" s="45"/>
      <c r="AF78" s="43"/>
      <c r="AG78" s="45"/>
      <c r="AH78" s="45"/>
      <c r="AI78" s="101">
        <f t="shared" si="1"/>
        <v>0</v>
      </c>
    </row>
    <row r="79" spans="1:35" s="37" customFormat="1" x14ac:dyDescent="0.2">
      <c r="A79" s="128" t="s">
        <v>105</v>
      </c>
      <c r="B79" s="43"/>
      <c r="C79" s="43"/>
      <c r="D79" s="43">
        <v>3264.72</v>
      </c>
      <c r="E79" s="213"/>
      <c r="F79" s="43"/>
      <c r="G79" s="45"/>
      <c r="H79" s="45"/>
      <c r="I79" s="45">
        <v>4344.17</v>
      </c>
      <c r="J79" s="58">
        <v>7608.89</v>
      </c>
      <c r="K79" s="43"/>
      <c r="L79" s="45"/>
      <c r="M79" s="45"/>
      <c r="N79" s="46"/>
      <c r="O79" s="55"/>
      <c r="P79" s="45"/>
      <c r="Q79" s="55"/>
      <c r="R79" s="58"/>
      <c r="S79" s="45"/>
      <c r="T79" s="43"/>
      <c r="U79" s="45"/>
      <c r="V79" s="45"/>
      <c r="W79" s="45"/>
      <c r="X79" s="45"/>
      <c r="Y79" s="46"/>
      <c r="Z79" s="146"/>
      <c r="AA79" s="45"/>
      <c r="AB79" s="46"/>
      <c r="AC79" s="146"/>
      <c r="AD79" s="45"/>
      <c r="AE79" s="45"/>
      <c r="AF79" s="43"/>
      <c r="AG79" s="45"/>
      <c r="AH79" s="45"/>
      <c r="AI79" s="101">
        <f t="shared" si="1"/>
        <v>-9.0949470177292824E-13</v>
      </c>
    </row>
    <row r="80" spans="1:35" s="37" customFormat="1" ht="25.5" x14ac:dyDescent="0.2">
      <c r="A80" s="128" t="s">
        <v>106</v>
      </c>
      <c r="B80" s="43"/>
      <c r="C80" s="43"/>
      <c r="D80" s="43">
        <v>1152.77</v>
      </c>
      <c r="E80" s="213"/>
      <c r="F80" s="43"/>
      <c r="G80" s="45"/>
      <c r="H80" s="45"/>
      <c r="I80" s="45">
        <v>5639.32</v>
      </c>
      <c r="J80" s="58">
        <v>6792.08</v>
      </c>
      <c r="K80" s="43"/>
      <c r="L80" s="45"/>
      <c r="M80" s="45"/>
      <c r="N80" s="46"/>
      <c r="O80" s="55"/>
      <c r="P80" s="45"/>
      <c r="Q80" s="55"/>
      <c r="R80" s="58"/>
      <c r="S80" s="45"/>
      <c r="T80" s="43"/>
      <c r="U80" s="45"/>
      <c r="V80" s="45"/>
      <c r="W80" s="45"/>
      <c r="X80" s="45"/>
      <c r="Y80" s="46"/>
      <c r="Z80" s="146"/>
      <c r="AA80" s="45"/>
      <c r="AB80" s="46"/>
      <c r="AC80" s="146"/>
      <c r="AD80" s="45"/>
      <c r="AE80" s="45"/>
      <c r="AF80" s="43"/>
      <c r="AG80" s="45"/>
      <c r="AH80" s="45"/>
      <c r="AI80" s="101">
        <f t="shared" si="1"/>
        <v>1.0000000000218279E-2</v>
      </c>
    </row>
    <row r="81" spans="1:35" s="37" customFormat="1" x14ac:dyDescent="0.2">
      <c r="A81" s="128" t="s">
        <v>107</v>
      </c>
      <c r="B81" s="43"/>
      <c r="C81" s="43"/>
      <c r="D81" s="43"/>
      <c r="E81" s="213"/>
      <c r="F81" s="43"/>
      <c r="G81" s="45"/>
      <c r="H81" s="45">
        <v>0</v>
      </c>
      <c r="I81" s="45">
        <v>0</v>
      </c>
      <c r="J81" s="58"/>
      <c r="K81" s="43"/>
      <c r="L81" s="45"/>
      <c r="M81" s="45">
        <v>2500</v>
      </c>
      <c r="N81" s="46"/>
      <c r="O81" s="55"/>
      <c r="P81" s="45"/>
      <c r="Q81" s="55">
        <v>15930</v>
      </c>
      <c r="R81" s="58">
        <v>18430</v>
      </c>
      <c r="S81" s="45"/>
      <c r="T81" s="43"/>
      <c r="U81" s="45"/>
      <c r="V81" s="45"/>
      <c r="W81" s="45"/>
      <c r="X81" s="45"/>
      <c r="Y81" s="46"/>
      <c r="Z81" s="146"/>
      <c r="AA81" s="45"/>
      <c r="AB81" s="46"/>
      <c r="AC81" s="146"/>
      <c r="AD81" s="45"/>
      <c r="AE81" s="45"/>
      <c r="AF81" s="43"/>
      <c r="AG81" s="45"/>
      <c r="AH81" s="45"/>
      <c r="AI81" s="101">
        <f t="shared" si="1"/>
        <v>0</v>
      </c>
    </row>
    <row r="82" spans="1:35" s="37" customFormat="1" x14ac:dyDescent="0.2">
      <c r="A82" s="128" t="s">
        <v>108</v>
      </c>
      <c r="B82" s="43"/>
      <c r="C82" s="43"/>
      <c r="D82" s="43"/>
      <c r="E82" s="213"/>
      <c r="F82" s="43"/>
      <c r="G82" s="45"/>
      <c r="H82" s="45">
        <v>0</v>
      </c>
      <c r="I82" s="45">
        <v>0</v>
      </c>
      <c r="J82" s="58"/>
      <c r="K82" s="43"/>
      <c r="L82" s="45"/>
      <c r="M82" s="45">
        <v>0</v>
      </c>
      <c r="N82" s="46"/>
      <c r="O82" s="55"/>
      <c r="P82" s="45"/>
      <c r="Q82" s="55"/>
      <c r="R82" s="58">
        <v>0</v>
      </c>
      <c r="S82" s="45"/>
      <c r="T82" s="43"/>
      <c r="U82" s="45"/>
      <c r="V82" s="45"/>
      <c r="W82" s="45"/>
      <c r="X82" s="45"/>
      <c r="Y82" s="46"/>
      <c r="Z82" s="146"/>
      <c r="AA82" s="45"/>
      <c r="AB82" s="46"/>
      <c r="AC82" s="146"/>
      <c r="AD82" s="45"/>
      <c r="AE82" s="45"/>
      <c r="AF82" s="43"/>
      <c r="AG82" s="45"/>
      <c r="AH82" s="45"/>
      <c r="AI82" s="101">
        <f t="shared" si="1"/>
        <v>0</v>
      </c>
    </row>
    <row r="83" spans="1:35" s="37" customFormat="1" ht="25.5" x14ac:dyDescent="0.2">
      <c r="A83" s="128" t="s">
        <v>77</v>
      </c>
      <c r="B83" s="43"/>
      <c r="C83" s="43">
        <v>15545.257169999999</v>
      </c>
      <c r="D83" s="43"/>
      <c r="E83" s="213">
        <v>15545.26</v>
      </c>
      <c r="F83" s="43"/>
      <c r="G83" s="44"/>
      <c r="H83" s="45"/>
      <c r="I83" s="45"/>
      <c r="J83" s="58"/>
      <c r="K83" s="43"/>
      <c r="L83" s="45"/>
      <c r="M83" s="45"/>
      <c r="N83" s="46"/>
      <c r="O83" s="55"/>
      <c r="P83" s="45"/>
      <c r="Q83" s="55"/>
      <c r="R83" s="58"/>
      <c r="S83" s="45"/>
      <c r="T83" s="43"/>
      <c r="U83" s="45"/>
      <c r="V83" s="45"/>
      <c r="W83" s="45"/>
      <c r="X83" s="45"/>
      <c r="Y83" s="46"/>
      <c r="Z83" s="146"/>
      <c r="AA83" s="45"/>
      <c r="AB83" s="46"/>
      <c r="AC83" s="146"/>
      <c r="AD83" s="45"/>
      <c r="AE83" s="45"/>
      <c r="AF83" s="43"/>
      <c r="AG83" s="45"/>
      <c r="AH83" s="45"/>
      <c r="AI83" s="101">
        <f t="shared" si="1"/>
        <v>-2.8300000012677629E-3</v>
      </c>
    </row>
    <row r="84" spans="1:35" s="37" customFormat="1" ht="25.5" x14ac:dyDescent="0.2">
      <c r="A84" s="128" t="s">
        <v>79</v>
      </c>
      <c r="B84" s="43"/>
      <c r="C84" s="43">
        <v>10290.78996</v>
      </c>
      <c r="D84" s="43">
        <v>1156.56</v>
      </c>
      <c r="E84" s="213">
        <v>11447.35</v>
      </c>
      <c r="F84" s="43"/>
      <c r="G84" s="44"/>
      <c r="H84" s="45"/>
      <c r="I84" s="45"/>
      <c r="J84" s="58"/>
      <c r="K84" s="43"/>
      <c r="L84" s="45"/>
      <c r="M84" s="45"/>
      <c r="N84" s="46"/>
      <c r="O84" s="55"/>
      <c r="P84" s="45"/>
      <c r="Q84" s="55"/>
      <c r="R84" s="58"/>
      <c r="S84" s="45"/>
      <c r="T84" s="43"/>
      <c r="U84" s="45"/>
      <c r="V84" s="45"/>
      <c r="W84" s="45"/>
      <c r="X84" s="45"/>
      <c r="Y84" s="46"/>
      <c r="Z84" s="146"/>
      <c r="AA84" s="45"/>
      <c r="AB84" s="46"/>
      <c r="AC84" s="146"/>
      <c r="AD84" s="45"/>
      <c r="AE84" s="45"/>
      <c r="AF84" s="43"/>
      <c r="AG84" s="45"/>
      <c r="AH84" s="45"/>
      <c r="AI84" s="101">
        <f t="shared" si="1"/>
        <v>-4.000000080850441E-5</v>
      </c>
    </row>
    <row r="85" spans="1:35" s="37" customFormat="1" x14ac:dyDescent="0.2">
      <c r="A85" s="128" t="s">
        <v>78</v>
      </c>
      <c r="B85" s="43"/>
      <c r="C85" s="43"/>
      <c r="D85" s="43"/>
      <c r="E85" s="213"/>
      <c r="F85" s="43"/>
      <c r="G85" s="44">
        <v>359.74</v>
      </c>
      <c r="H85" s="45"/>
      <c r="I85" s="45"/>
      <c r="J85" s="44">
        <v>359.74</v>
      </c>
      <c r="K85" s="43"/>
      <c r="L85" s="45"/>
      <c r="M85" s="45"/>
      <c r="N85" s="46"/>
      <c r="O85" s="55"/>
      <c r="P85" s="45"/>
      <c r="Q85" s="55"/>
      <c r="R85" s="58"/>
      <c r="S85" s="45"/>
      <c r="T85" s="43"/>
      <c r="U85" s="45"/>
      <c r="V85" s="45"/>
      <c r="W85" s="45"/>
      <c r="X85" s="45"/>
      <c r="Y85" s="46"/>
      <c r="Z85" s="146"/>
      <c r="AA85" s="45"/>
      <c r="AB85" s="46"/>
      <c r="AC85" s="146"/>
      <c r="AD85" s="45"/>
      <c r="AE85" s="45"/>
      <c r="AF85" s="43"/>
      <c r="AG85" s="45"/>
      <c r="AH85" s="45"/>
      <c r="AI85" s="101">
        <f>C85+D85+I85+M85+Q85+V85-E85-J85-N85-R85-X85</f>
        <v>-359.74</v>
      </c>
    </row>
    <row r="86" spans="1:35" s="37" customFormat="1" x14ac:dyDescent="0.2">
      <c r="A86" s="128" t="s">
        <v>80</v>
      </c>
      <c r="B86" s="43"/>
      <c r="C86" s="43"/>
      <c r="D86" s="43">
        <v>2148.46</v>
      </c>
      <c r="E86" s="213"/>
      <c r="F86" s="43"/>
      <c r="G86" s="44"/>
      <c r="H86" s="45"/>
      <c r="I86" s="45">
        <f>5292+3701.2</f>
        <v>8993.2000000000007</v>
      </c>
      <c r="J86" s="58"/>
      <c r="K86" s="43"/>
      <c r="L86" s="45"/>
      <c r="M86" s="45"/>
      <c r="N86" s="46">
        <v>11142</v>
      </c>
      <c r="O86" s="55"/>
      <c r="P86" s="45"/>
      <c r="Q86" s="55"/>
      <c r="R86" s="58"/>
      <c r="S86" s="45"/>
      <c r="T86" s="43"/>
      <c r="U86" s="45"/>
      <c r="V86" s="45"/>
      <c r="W86" s="45"/>
      <c r="X86" s="45"/>
      <c r="Y86" s="46"/>
      <c r="Z86" s="146"/>
      <c r="AA86" s="45"/>
      <c r="AB86" s="46"/>
      <c r="AC86" s="146"/>
      <c r="AD86" s="45"/>
      <c r="AE86" s="45"/>
      <c r="AF86" s="43"/>
      <c r="AG86" s="45"/>
      <c r="AH86" s="45"/>
      <c r="AI86" s="101">
        <f t="shared" si="1"/>
        <v>-0.34000000000014552</v>
      </c>
    </row>
    <row r="87" spans="1:35" s="37" customFormat="1" ht="25.5" x14ac:dyDescent="0.2">
      <c r="A87" s="128" t="s">
        <v>81</v>
      </c>
      <c r="B87" s="43"/>
      <c r="C87" s="43"/>
      <c r="D87" s="43"/>
      <c r="E87" s="213"/>
      <c r="F87" s="43"/>
      <c r="G87" s="44"/>
      <c r="H87" s="45"/>
      <c r="I87" s="45"/>
      <c r="J87" s="58"/>
      <c r="K87" s="43"/>
      <c r="L87" s="45"/>
      <c r="M87" s="45">
        <v>3473</v>
      </c>
      <c r="N87" s="46"/>
      <c r="O87" s="55"/>
      <c r="P87" s="45"/>
      <c r="Q87" s="55"/>
      <c r="R87" s="58">
        <v>3473</v>
      </c>
      <c r="S87" s="45"/>
      <c r="T87" s="43"/>
      <c r="U87" s="45"/>
      <c r="V87" s="45"/>
      <c r="W87" s="45"/>
      <c r="X87" s="45"/>
      <c r="Y87" s="46"/>
      <c r="Z87" s="146"/>
      <c r="AA87" s="45"/>
      <c r="AB87" s="46"/>
      <c r="AC87" s="146"/>
      <c r="AD87" s="45"/>
      <c r="AE87" s="45"/>
      <c r="AF87" s="43"/>
      <c r="AG87" s="45"/>
      <c r="AH87" s="45"/>
      <c r="AI87" s="101">
        <f t="shared" si="1"/>
        <v>0</v>
      </c>
    </row>
    <row r="88" spans="1:35" s="37" customFormat="1" x14ac:dyDescent="0.2">
      <c r="A88" s="128" t="s">
        <v>82</v>
      </c>
      <c r="B88" s="43"/>
      <c r="C88" s="43"/>
      <c r="D88" s="43"/>
      <c r="E88" s="213"/>
      <c r="F88" s="43"/>
      <c r="G88" s="44"/>
      <c r="H88" s="45"/>
      <c r="I88" s="45"/>
      <c r="J88" s="58"/>
      <c r="K88" s="43"/>
      <c r="L88" s="45"/>
      <c r="M88" s="45">
        <v>4096</v>
      </c>
      <c r="N88" s="46"/>
      <c r="O88" s="55"/>
      <c r="P88" s="45"/>
      <c r="Q88" s="55"/>
      <c r="R88" s="58">
        <v>4096</v>
      </c>
      <c r="S88" s="45"/>
      <c r="T88" s="43"/>
      <c r="U88" s="45"/>
      <c r="V88" s="45"/>
      <c r="W88" s="45"/>
      <c r="X88" s="45"/>
      <c r="Y88" s="46"/>
      <c r="Z88" s="146"/>
      <c r="AA88" s="45"/>
      <c r="AB88" s="46"/>
      <c r="AC88" s="146"/>
      <c r="AD88" s="45"/>
      <c r="AE88" s="45"/>
      <c r="AF88" s="43"/>
      <c r="AG88" s="45"/>
      <c r="AH88" s="45"/>
      <c r="AI88" s="101">
        <f t="shared" si="1"/>
        <v>0</v>
      </c>
    </row>
    <row r="89" spans="1:35" s="37" customFormat="1" x14ac:dyDescent="0.2">
      <c r="A89" s="128" t="s">
        <v>83</v>
      </c>
      <c r="B89" s="43"/>
      <c r="C89" s="43"/>
      <c r="D89" s="43"/>
      <c r="E89" s="213"/>
      <c r="F89" s="43"/>
      <c r="G89" s="44"/>
      <c r="H89" s="45"/>
      <c r="I89" s="45"/>
      <c r="J89" s="58"/>
      <c r="K89" s="43"/>
      <c r="L89" s="45"/>
      <c r="M89" s="45">
        <v>3819</v>
      </c>
      <c r="N89" s="46"/>
      <c r="O89" s="55"/>
      <c r="P89" s="45"/>
      <c r="Q89" s="55"/>
      <c r="R89" s="58">
        <v>3819</v>
      </c>
      <c r="S89" s="45"/>
      <c r="T89" s="43"/>
      <c r="U89" s="45"/>
      <c r="V89" s="45"/>
      <c r="W89" s="45"/>
      <c r="X89" s="45"/>
      <c r="Y89" s="46"/>
      <c r="Z89" s="146"/>
      <c r="AA89" s="45"/>
      <c r="AB89" s="46"/>
      <c r="AC89" s="146"/>
      <c r="AD89" s="45"/>
      <c r="AE89" s="45"/>
      <c r="AF89" s="43"/>
      <c r="AG89" s="45"/>
      <c r="AH89" s="45"/>
      <c r="AI89" s="101">
        <f t="shared" si="1"/>
        <v>0</v>
      </c>
    </row>
    <row r="90" spans="1:35" s="37" customFormat="1" x14ac:dyDescent="0.2">
      <c r="A90" s="128" t="s">
        <v>84</v>
      </c>
      <c r="B90" s="43"/>
      <c r="C90" s="43"/>
      <c r="D90" s="43"/>
      <c r="E90" s="213"/>
      <c r="F90" s="43"/>
      <c r="G90" s="44"/>
      <c r="H90" s="45"/>
      <c r="I90" s="45"/>
      <c r="J90" s="58"/>
      <c r="K90" s="43"/>
      <c r="L90" s="45"/>
      <c r="M90" s="45">
        <v>7264</v>
      </c>
      <c r="N90" s="46"/>
      <c r="O90" s="55"/>
      <c r="P90" s="45"/>
      <c r="Q90" s="55"/>
      <c r="R90" s="58">
        <v>7264</v>
      </c>
      <c r="S90" s="45"/>
      <c r="T90" s="43"/>
      <c r="U90" s="45"/>
      <c r="V90" s="45"/>
      <c r="W90" s="45"/>
      <c r="X90" s="45"/>
      <c r="Y90" s="46"/>
      <c r="Z90" s="146"/>
      <c r="AA90" s="45"/>
      <c r="AB90" s="46"/>
      <c r="AC90" s="146"/>
      <c r="AD90" s="45"/>
      <c r="AE90" s="45"/>
      <c r="AF90" s="43"/>
      <c r="AG90" s="45"/>
      <c r="AH90" s="45"/>
      <c r="AI90" s="101">
        <f t="shared" si="1"/>
        <v>0</v>
      </c>
    </row>
    <row r="91" spans="1:35" s="37" customFormat="1" x14ac:dyDescent="0.2">
      <c r="A91" s="128" t="s">
        <v>85</v>
      </c>
      <c r="B91" s="43"/>
      <c r="C91" s="43"/>
      <c r="D91" s="43"/>
      <c r="E91" s="213"/>
      <c r="F91" s="43"/>
      <c r="G91" s="44"/>
      <c r="H91" s="45"/>
      <c r="I91" s="45"/>
      <c r="J91" s="58"/>
      <c r="K91" s="43"/>
      <c r="L91" s="45">
        <v>26810</v>
      </c>
      <c r="M91" s="45">
        <v>12270</v>
      </c>
      <c r="N91" s="46"/>
      <c r="O91" s="55"/>
      <c r="P91" s="45"/>
      <c r="Q91" s="55"/>
      <c r="R91" s="58">
        <v>12270</v>
      </c>
      <c r="S91" s="45"/>
      <c r="T91" s="43"/>
      <c r="U91" s="45"/>
      <c r="V91" s="45"/>
      <c r="W91" s="45"/>
      <c r="X91" s="45"/>
      <c r="Y91" s="46"/>
      <c r="Z91" s="146"/>
      <c r="AA91" s="45"/>
      <c r="AB91" s="46"/>
      <c r="AC91" s="146"/>
      <c r="AD91" s="45"/>
      <c r="AE91" s="45"/>
      <c r="AF91" s="43"/>
      <c r="AG91" s="45"/>
      <c r="AH91" s="45"/>
      <c r="AI91" s="101">
        <f>C91+D91+I91+M91+Q91+V91-E91-J91-N91-R91-X91</f>
        <v>0</v>
      </c>
    </row>
    <row r="92" spans="1:35" s="37" customFormat="1" x14ac:dyDescent="0.2">
      <c r="A92" s="128" t="s">
        <v>86</v>
      </c>
      <c r="B92" s="43"/>
      <c r="C92" s="43"/>
      <c r="D92" s="43"/>
      <c r="E92" s="213"/>
      <c r="F92" s="43"/>
      <c r="G92" s="44"/>
      <c r="H92" s="45"/>
      <c r="I92" s="45"/>
      <c r="J92" s="58"/>
      <c r="K92" s="43"/>
      <c r="L92" s="45"/>
      <c r="M92" s="45">
        <v>1561</v>
      </c>
      <c r="N92" s="46"/>
      <c r="O92" s="55"/>
      <c r="P92" s="45"/>
      <c r="Q92" s="55"/>
      <c r="R92" s="58">
        <v>1561</v>
      </c>
      <c r="S92" s="45"/>
      <c r="T92" s="43"/>
      <c r="U92" s="45"/>
      <c r="V92" s="45"/>
      <c r="W92" s="45"/>
      <c r="X92" s="45"/>
      <c r="Y92" s="46"/>
      <c r="Z92" s="146"/>
      <c r="AA92" s="45"/>
      <c r="AB92" s="46"/>
      <c r="AC92" s="146"/>
      <c r="AD92" s="45"/>
      <c r="AE92" s="45"/>
      <c r="AF92" s="43"/>
      <c r="AG92" s="45"/>
      <c r="AH92" s="45"/>
      <c r="AI92" s="101">
        <f>C92+D92+I92+M92+Q92+V92-E92-J92-N92-R92-X92</f>
        <v>0</v>
      </c>
    </row>
    <row r="93" spans="1:35" s="37" customFormat="1" x14ac:dyDescent="0.2">
      <c r="A93" s="128" t="s">
        <v>87</v>
      </c>
      <c r="B93" s="43"/>
      <c r="C93" s="43"/>
      <c r="D93" s="43"/>
      <c r="E93" s="213"/>
      <c r="F93" s="43"/>
      <c r="G93" s="44"/>
      <c r="H93" s="45"/>
      <c r="I93" s="45"/>
      <c r="J93" s="58"/>
      <c r="K93" s="43"/>
      <c r="L93" s="45">
        <v>21262</v>
      </c>
      <c r="M93" s="45">
        <v>7683</v>
      </c>
      <c r="N93" s="46"/>
      <c r="O93" s="55"/>
      <c r="P93" s="45"/>
      <c r="Q93" s="55"/>
      <c r="R93" s="58">
        <v>7683</v>
      </c>
      <c r="S93" s="45"/>
      <c r="T93" s="43"/>
      <c r="U93" s="45"/>
      <c r="V93" s="45"/>
      <c r="W93" s="45"/>
      <c r="X93" s="45"/>
      <c r="Y93" s="46"/>
      <c r="Z93" s="146"/>
      <c r="AA93" s="45"/>
      <c r="AB93" s="46"/>
      <c r="AC93" s="146"/>
      <c r="AD93" s="45"/>
      <c r="AE93" s="45"/>
      <c r="AF93" s="43"/>
      <c r="AG93" s="45"/>
      <c r="AH93" s="45"/>
      <c r="AI93" s="101">
        <f t="shared" si="1"/>
        <v>0</v>
      </c>
    </row>
    <row r="94" spans="1:35" s="37" customFormat="1" x14ac:dyDescent="0.2">
      <c r="A94" s="128" t="s">
        <v>88</v>
      </c>
      <c r="B94" s="43"/>
      <c r="C94" s="43"/>
      <c r="D94" s="43"/>
      <c r="E94" s="213"/>
      <c r="F94" s="43"/>
      <c r="G94" s="44"/>
      <c r="H94" s="45"/>
      <c r="I94" s="45"/>
      <c r="J94" s="58"/>
      <c r="K94" s="43"/>
      <c r="L94" s="45">
        <v>50842</v>
      </c>
      <c r="M94" s="45">
        <v>10928</v>
      </c>
      <c r="N94" s="46"/>
      <c r="O94" s="55"/>
      <c r="P94" s="45"/>
      <c r="Q94" s="55"/>
      <c r="R94" s="58">
        <v>10928</v>
      </c>
      <c r="S94" s="45"/>
      <c r="T94" s="43"/>
      <c r="U94" s="45"/>
      <c r="V94" s="45"/>
      <c r="W94" s="45"/>
      <c r="X94" s="45"/>
      <c r="Y94" s="46"/>
      <c r="Z94" s="146"/>
      <c r="AA94" s="45"/>
      <c r="AB94" s="46"/>
      <c r="AC94" s="146"/>
      <c r="AD94" s="45"/>
      <c r="AE94" s="45"/>
      <c r="AF94" s="43"/>
      <c r="AG94" s="45"/>
      <c r="AH94" s="45"/>
      <c r="AI94" s="101">
        <f t="shared" si="1"/>
        <v>0</v>
      </c>
    </row>
    <row r="95" spans="1:35" s="37" customFormat="1" x14ac:dyDescent="0.2">
      <c r="A95" s="128" t="s">
        <v>89</v>
      </c>
      <c r="B95" s="43"/>
      <c r="C95" s="43"/>
      <c r="D95" s="43"/>
      <c r="E95" s="213"/>
      <c r="F95" s="43"/>
      <c r="G95" s="44"/>
      <c r="H95" s="45"/>
      <c r="I95" s="45"/>
      <c r="J95" s="58"/>
      <c r="K95" s="43"/>
      <c r="L95" s="45">
        <v>10963</v>
      </c>
      <c r="M95" s="45">
        <v>3356</v>
      </c>
      <c r="N95" s="46"/>
      <c r="O95" s="55"/>
      <c r="P95" s="45"/>
      <c r="Q95" s="55"/>
      <c r="R95" s="58">
        <v>3356</v>
      </c>
      <c r="S95" s="45"/>
      <c r="T95" s="43"/>
      <c r="U95" s="45"/>
      <c r="V95" s="45"/>
      <c r="W95" s="45"/>
      <c r="X95" s="45"/>
      <c r="Y95" s="46"/>
      <c r="Z95" s="146"/>
      <c r="AA95" s="45"/>
      <c r="AB95" s="46"/>
      <c r="AC95" s="146"/>
      <c r="AD95" s="45"/>
      <c r="AE95" s="45"/>
      <c r="AF95" s="43"/>
      <c r="AG95" s="45"/>
      <c r="AH95" s="45"/>
      <c r="AI95" s="101">
        <f t="shared" si="1"/>
        <v>0</v>
      </c>
    </row>
    <row r="96" spans="1:35" s="37" customFormat="1" x14ac:dyDescent="0.2">
      <c r="A96" s="128" t="s">
        <v>90</v>
      </c>
      <c r="B96" s="43"/>
      <c r="C96" s="43"/>
      <c r="D96" s="43"/>
      <c r="E96" s="213"/>
      <c r="F96" s="43"/>
      <c r="G96" s="44"/>
      <c r="H96" s="45"/>
      <c r="I96" s="45"/>
      <c r="J96" s="58"/>
      <c r="K96" s="43"/>
      <c r="L96" s="45"/>
      <c r="M96" s="45">
        <v>0</v>
      </c>
      <c r="N96" s="46"/>
      <c r="O96" s="55"/>
      <c r="P96" s="45"/>
      <c r="Q96" s="55"/>
      <c r="R96" s="58">
        <v>0</v>
      </c>
      <c r="S96" s="45"/>
      <c r="T96" s="43"/>
      <c r="U96" s="45"/>
      <c r="V96" s="45"/>
      <c r="W96" s="45"/>
      <c r="X96" s="45"/>
      <c r="Y96" s="46"/>
      <c r="Z96" s="146"/>
      <c r="AA96" s="45"/>
      <c r="AB96" s="46"/>
      <c r="AC96" s="146"/>
      <c r="AD96" s="45"/>
      <c r="AE96" s="45"/>
      <c r="AF96" s="43"/>
      <c r="AG96" s="45"/>
      <c r="AH96" s="45"/>
      <c r="AI96" s="101">
        <f t="shared" si="1"/>
        <v>0</v>
      </c>
    </row>
    <row r="97" spans="1:35" s="37" customFormat="1" x14ac:dyDescent="0.2">
      <c r="A97" s="128" t="s">
        <v>155</v>
      </c>
      <c r="B97" s="43"/>
      <c r="C97" s="43"/>
      <c r="D97" s="43"/>
      <c r="E97" s="213"/>
      <c r="F97" s="43"/>
      <c r="G97" s="44"/>
      <c r="H97" s="45"/>
      <c r="I97" s="45"/>
      <c r="J97" s="58"/>
      <c r="K97" s="43"/>
      <c r="L97" s="45"/>
      <c r="M97" s="45">
        <v>0</v>
      </c>
      <c r="N97" s="46"/>
      <c r="O97" s="55"/>
      <c r="P97" s="45"/>
      <c r="Q97" s="55">
        <v>8191</v>
      </c>
      <c r="R97" s="58">
        <v>8191</v>
      </c>
      <c r="S97" s="45"/>
      <c r="T97" s="43"/>
      <c r="U97" s="45"/>
      <c r="V97" s="45"/>
      <c r="W97" s="45"/>
      <c r="X97" s="45"/>
      <c r="Y97" s="46"/>
      <c r="Z97" s="146"/>
      <c r="AA97" s="45"/>
      <c r="AB97" s="46"/>
      <c r="AC97" s="146"/>
      <c r="AD97" s="45"/>
      <c r="AE97" s="45"/>
      <c r="AF97" s="43"/>
      <c r="AG97" s="45"/>
      <c r="AH97" s="45"/>
      <c r="AI97" s="101">
        <f t="shared" si="1"/>
        <v>0</v>
      </c>
    </row>
    <row r="98" spans="1:35" s="37" customFormat="1" x14ac:dyDescent="0.2">
      <c r="A98" s="128" t="s">
        <v>156</v>
      </c>
      <c r="B98" s="43"/>
      <c r="C98" s="43"/>
      <c r="D98" s="43"/>
      <c r="E98" s="213"/>
      <c r="F98" s="43"/>
      <c r="G98" s="45"/>
      <c r="H98" s="45"/>
      <c r="I98" s="45"/>
      <c r="J98" s="58"/>
      <c r="K98" s="43"/>
      <c r="L98" s="45"/>
      <c r="M98" s="6">
        <v>0</v>
      </c>
      <c r="N98" s="24"/>
      <c r="O98" s="56"/>
      <c r="P98" s="45"/>
      <c r="Q98" s="55">
        <v>0</v>
      </c>
      <c r="R98" s="58"/>
      <c r="S98" s="45"/>
      <c r="T98" s="43"/>
      <c r="U98" s="45"/>
      <c r="V98" s="45"/>
      <c r="W98" s="45"/>
      <c r="X98" s="45"/>
      <c r="Y98" s="46"/>
      <c r="Z98" s="146"/>
      <c r="AA98" s="45"/>
      <c r="AB98" s="46"/>
      <c r="AC98" s="146"/>
      <c r="AD98" s="45"/>
      <c r="AE98" s="45"/>
      <c r="AF98" s="43"/>
      <c r="AG98" s="45"/>
      <c r="AH98" s="45"/>
      <c r="AI98" s="101">
        <f t="shared" si="1"/>
        <v>0</v>
      </c>
    </row>
    <row r="99" spans="1:35" s="37" customFormat="1" ht="25.5" x14ac:dyDescent="0.2">
      <c r="A99" s="128" t="s">
        <v>157</v>
      </c>
      <c r="B99" s="43"/>
      <c r="C99" s="43"/>
      <c r="D99" s="43"/>
      <c r="E99" s="213"/>
      <c r="F99" s="43"/>
      <c r="G99" s="44"/>
      <c r="H99" s="45"/>
      <c r="I99" s="45"/>
      <c r="J99" s="58"/>
      <c r="K99" s="43"/>
      <c r="L99" s="45"/>
      <c r="M99" s="45">
        <v>0</v>
      </c>
      <c r="N99" s="46"/>
      <c r="O99" s="55"/>
      <c r="P99" s="45"/>
      <c r="Q99" s="55">
        <v>9804</v>
      </c>
      <c r="R99" s="58">
        <v>9804</v>
      </c>
      <c r="S99" s="45"/>
      <c r="T99" s="43"/>
      <c r="U99" s="45"/>
      <c r="V99" s="45"/>
      <c r="W99" s="45"/>
      <c r="X99" s="45"/>
      <c r="Y99" s="46"/>
      <c r="Z99" s="146"/>
      <c r="AA99" s="45"/>
      <c r="AB99" s="46"/>
      <c r="AC99" s="146"/>
      <c r="AD99" s="45"/>
      <c r="AE99" s="45"/>
      <c r="AF99" s="43"/>
      <c r="AG99" s="45"/>
      <c r="AH99" s="45"/>
      <c r="AI99" s="101">
        <f t="shared" si="1"/>
        <v>0</v>
      </c>
    </row>
    <row r="100" spans="1:35" s="37" customFormat="1" x14ac:dyDescent="0.2">
      <c r="A100" s="128" t="s">
        <v>158</v>
      </c>
      <c r="B100" s="43"/>
      <c r="C100" s="43"/>
      <c r="D100" s="43"/>
      <c r="E100" s="213"/>
      <c r="F100" s="43"/>
      <c r="G100" s="44"/>
      <c r="H100" s="45"/>
      <c r="I100" s="45"/>
      <c r="J100" s="58"/>
      <c r="K100" s="43"/>
      <c r="L100" s="45"/>
      <c r="M100" s="45">
        <v>0</v>
      </c>
      <c r="N100" s="46"/>
      <c r="O100" s="55"/>
      <c r="P100" s="45"/>
      <c r="Q100" s="55">
        <v>11853</v>
      </c>
      <c r="R100" s="58">
        <v>11853</v>
      </c>
      <c r="S100" s="45"/>
      <c r="T100" s="43"/>
      <c r="U100" s="45"/>
      <c r="V100" s="45"/>
      <c r="W100" s="45"/>
      <c r="X100" s="45"/>
      <c r="Y100" s="46"/>
      <c r="Z100" s="146"/>
      <c r="AA100" s="45"/>
      <c r="AB100" s="46"/>
      <c r="AC100" s="146"/>
      <c r="AD100" s="45"/>
      <c r="AE100" s="45"/>
      <c r="AF100" s="43"/>
      <c r="AG100" s="45"/>
      <c r="AH100" s="45"/>
      <c r="AI100" s="101">
        <f t="shared" si="1"/>
        <v>0</v>
      </c>
    </row>
    <row r="101" spans="1:35" s="37" customFormat="1" ht="25.5" x14ac:dyDescent="0.2">
      <c r="A101" s="128" t="s">
        <v>159</v>
      </c>
      <c r="B101" s="43"/>
      <c r="C101" s="43"/>
      <c r="D101" s="43"/>
      <c r="E101" s="213"/>
      <c r="F101" s="43"/>
      <c r="G101" s="44"/>
      <c r="H101" s="45"/>
      <c r="I101" s="45"/>
      <c r="J101" s="58"/>
      <c r="K101" s="43"/>
      <c r="L101" s="45"/>
      <c r="M101" s="45">
        <v>0</v>
      </c>
      <c r="N101" s="46"/>
      <c r="O101" s="55"/>
      <c r="P101" s="45"/>
      <c r="Q101" s="55">
        <v>15042</v>
      </c>
      <c r="R101" s="58">
        <v>15042</v>
      </c>
      <c r="S101" s="45"/>
      <c r="T101" s="43"/>
      <c r="U101" s="45"/>
      <c r="V101" s="45"/>
      <c r="W101" s="45"/>
      <c r="X101" s="45"/>
      <c r="Y101" s="46"/>
      <c r="Z101" s="146"/>
      <c r="AA101" s="45"/>
      <c r="AB101" s="46"/>
      <c r="AC101" s="146"/>
      <c r="AD101" s="45"/>
      <c r="AE101" s="45"/>
      <c r="AF101" s="43"/>
      <c r="AG101" s="45"/>
      <c r="AH101" s="45"/>
      <c r="AI101" s="101">
        <f t="shared" si="1"/>
        <v>0</v>
      </c>
    </row>
    <row r="102" spans="1:35" s="37" customFormat="1" ht="25.5" x14ac:dyDescent="0.2">
      <c r="A102" s="149" t="s">
        <v>207</v>
      </c>
      <c r="B102" s="146"/>
      <c r="C102" s="43"/>
      <c r="D102" s="43"/>
      <c r="E102" s="213"/>
      <c r="F102" s="43"/>
      <c r="G102" s="44"/>
      <c r="H102" s="45"/>
      <c r="I102" s="45"/>
      <c r="J102" s="58"/>
      <c r="K102" s="43"/>
      <c r="L102" s="45"/>
      <c r="M102" s="45">
        <v>0</v>
      </c>
      <c r="N102" s="46"/>
      <c r="O102" s="55"/>
      <c r="P102" s="45"/>
      <c r="Q102" s="55">
        <v>87975</v>
      </c>
      <c r="R102" s="275">
        <v>20000</v>
      </c>
      <c r="S102" s="45"/>
      <c r="T102" s="43"/>
      <c r="U102" s="45"/>
      <c r="V102" s="45"/>
      <c r="W102" s="45">
        <v>95540</v>
      </c>
      <c r="X102" s="45">
        <v>87975</v>
      </c>
      <c r="Y102" s="46"/>
      <c r="Z102" s="146"/>
      <c r="AA102" s="45">
        <v>295205</v>
      </c>
      <c r="AB102" s="46">
        <v>95540</v>
      </c>
      <c r="AC102" s="146"/>
      <c r="AD102" s="45">
        <v>365500</v>
      </c>
      <c r="AE102" s="45">
        <v>275205</v>
      </c>
      <c r="AF102" s="43"/>
      <c r="AG102" s="45"/>
      <c r="AH102" s="45">
        <v>365500</v>
      </c>
      <c r="AI102" s="101">
        <f>C102+D102+I102+M102+Q102+V102-E102-J102-N102-R102-X102</f>
        <v>-20000</v>
      </c>
    </row>
    <row r="103" spans="1:35" s="37" customFormat="1" x14ac:dyDescent="0.2">
      <c r="A103" s="149" t="s">
        <v>208</v>
      </c>
      <c r="B103" s="146"/>
      <c r="C103" s="43"/>
      <c r="D103" s="43"/>
      <c r="E103" s="213"/>
      <c r="F103" s="43"/>
      <c r="G103" s="44"/>
      <c r="H103" s="45"/>
      <c r="I103" s="45"/>
      <c r="J103" s="58"/>
      <c r="K103" s="43"/>
      <c r="L103" s="45"/>
      <c r="M103" s="89">
        <v>0</v>
      </c>
      <c r="N103" s="46"/>
      <c r="O103" s="55"/>
      <c r="P103" s="45"/>
      <c r="Q103" s="55">
        <v>8000</v>
      </c>
      <c r="R103" s="58">
        <v>4000</v>
      </c>
      <c r="S103" s="45"/>
      <c r="T103" s="43"/>
      <c r="U103" s="45"/>
      <c r="V103" s="45"/>
      <c r="W103" s="45">
        <v>63500</v>
      </c>
      <c r="X103" s="45">
        <v>4000</v>
      </c>
      <c r="Y103" s="46"/>
      <c r="Z103" s="146"/>
      <c r="AA103" s="45">
        <v>97500</v>
      </c>
      <c r="AB103" s="46">
        <v>63500</v>
      </c>
      <c r="AC103" s="146"/>
      <c r="AD103" s="45">
        <v>80000</v>
      </c>
      <c r="AE103" s="45">
        <v>97500</v>
      </c>
      <c r="AF103" s="43"/>
      <c r="AG103" s="45"/>
      <c r="AH103" s="45">
        <v>80000</v>
      </c>
      <c r="AI103" s="101">
        <f t="shared" si="1"/>
        <v>0</v>
      </c>
    </row>
    <row r="104" spans="1:35" ht="25.5" x14ac:dyDescent="0.2">
      <c r="A104" s="148" t="s">
        <v>179</v>
      </c>
      <c r="B104" s="23"/>
      <c r="C104" s="23"/>
      <c r="D104" s="23"/>
      <c r="E104" s="214"/>
      <c r="F104" s="23"/>
      <c r="G104" s="6"/>
      <c r="H104" s="6">
        <v>45000</v>
      </c>
      <c r="I104" s="6"/>
      <c r="J104" s="59"/>
      <c r="K104" s="23"/>
      <c r="L104" s="6">
        <v>0</v>
      </c>
      <c r="M104" s="6"/>
      <c r="N104" s="24"/>
      <c r="O104" s="56"/>
      <c r="P104" s="6">
        <v>0</v>
      </c>
      <c r="Q104" s="56"/>
      <c r="R104" s="59"/>
      <c r="S104" s="6"/>
      <c r="T104" s="23"/>
      <c r="U104" s="6">
        <v>0</v>
      </c>
      <c r="V104" s="6"/>
      <c r="W104" s="6"/>
      <c r="X104" s="6"/>
      <c r="Y104" s="24"/>
      <c r="Z104" s="159"/>
      <c r="AA104" s="6"/>
      <c r="AB104" s="24"/>
      <c r="AC104" s="159"/>
      <c r="AD104" s="6"/>
      <c r="AE104" s="6"/>
      <c r="AF104" s="23"/>
      <c r="AG104" s="6"/>
      <c r="AH104" s="6"/>
      <c r="AI104" s="101">
        <f t="shared" si="1"/>
        <v>0</v>
      </c>
    </row>
    <row r="105" spans="1:35" ht="25.5" x14ac:dyDescent="0.2">
      <c r="A105" s="16" t="s">
        <v>180</v>
      </c>
      <c r="B105" s="23"/>
      <c r="C105" s="23"/>
      <c r="D105" s="23"/>
      <c r="E105" s="214"/>
      <c r="F105" s="23"/>
      <c r="G105" s="6"/>
      <c r="H105" s="6">
        <v>0</v>
      </c>
      <c r="I105" s="6"/>
      <c r="J105" s="59"/>
      <c r="K105" s="47"/>
      <c r="L105" s="6">
        <v>5500</v>
      </c>
      <c r="M105" s="6"/>
      <c r="N105" s="24"/>
      <c r="O105" s="56"/>
      <c r="P105" s="6">
        <v>25000</v>
      </c>
      <c r="Q105" s="56"/>
      <c r="R105" s="59"/>
      <c r="S105" s="6"/>
      <c r="T105" s="23"/>
      <c r="U105" s="6">
        <v>0</v>
      </c>
      <c r="V105" s="6"/>
      <c r="W105" s="6"/>
      <c r="X105" s="6"/>
      <c r="Y105" s="24"/>
      <c r="Z105" s="159"/>
      <c r="AA105" s="6"/>
      <c r="AB105" s="24"/>
      <c r="AC105" s="159"/>
      <c r="AD105" s="6"/>
      <c r="AE105" s="6"/>
      <c r="AF105" s="23"/>
      <c r="AG105" s="6"/>
      <c r="AH105" s="6"/>
      <c r="AI105" s="101">
        <f t="shared" ref="AI105:AI112" si="7">C105+D105+I105+M105+Q105+V105-E105-J105-N105-R105-X105</f>
        <v>0</v>
      </c>
    </row>
    <row r="106" spans="1:35" ht="25.5" x14ac:dyDescent="0.2">
      <c r="A106" s="16" t="s">
        <v>181</v>
      </c>
      <c r="B106" s="23"/>
      <c r="C106" s="23"/>
      <c r="D106" s="23"/>
      <c r="E106" s="214"/>
      <c r="F106" s="23"/>
      <c r="G106" s="6"/>
      <c r="H106" s="6">
        <v>0</v>
      </c>
      <c r="I106" s="6"/>
      <c r="J106" s="59"/>
      <c r="K106" s="47"/>
      <c r="L106" s="6">
        <v>2090</v>
      </c>
      <c r="M106" s="6"/>
      <c r="N106" s="24"/>
      <c r="O106" s="56"/>
      <c r="P106" s="6">
        <v>26000</v>
      </c>
      <c r="Q106" s="56"/>
      <c r="R106" s="59"/>
      <c r="S106" s="6"/>
      <c r="T106" s="23"/>
      <c r="U106" s="6">
        <v>27610</v>
      </c>
      <c r="V106" s="6"/>
      <c r="W106" s="6"/>
      <c r="X106" s="6"/>
      <c r="Y106" s="24"/>
      <c r="Z106" s="159"/>
      <c r="AA106" s="6"/>
      <c r="AB106" s="24"/>
      <c r="AC106" s="159"/>
      <c r="AD106" s="6"/>
      <c r="AE106" s="6"/>
      <c r="AF106" s="23"/>
      <c r="AG106" s="6"/>
      <c r="AH106" s="6"/>
      <c r="AI106" s="101">
        <f t="shared" si="7"/>
        <v>0</v>
      </c>
    </row>
    <row r="107" spans="1:35" ht="38.25" x14ac:dyDescent="0.2">
      <c r="A107" s="16" t="s">
        <v>182</v>
      </c>
      <c r="B107" s="23"/>
      <c r="C107" s="23"/>
      <c r="D107" s="23"/>
      <c r="E107" s="214"/>
      <c r="F107" s="23"/>
      <c r="G107" s="6"/>
      <c r="H107" s="6">
        <v>31098</v>
      </c>
      <c r="I107" s="6"/>
      <c r="J107" s="59"/>
      <c r="K107" s="23"/>
      <c r="L107" s="6">
        <v>19500</v>
      </c>
      <c r="M107" s="6"/>
      <c r="N107" s="24"/>
      <c r="O107" s="56"/>
      <c r="P107" s="6">
        <v>0</v>
      </c>
      <c r="Q107" s="56"/>
      <c r="R107" s="59"/>
      <c r="S107" s="6"/>
      <c r="T107" s="23"/>
      <c r="U107" s="6">
        <v>0</v>
      </c>
      <c r="V107" s="6"/>
      <c r="W107" s="6"/>
      <c r="X107" s="6"/>
      <c r="Y107" s="24"/>
      <c r="Z107" s="159"/>
      <c r="AA107" s="6"/>
      <c r="AB107" s="24"/>
      <c r="AC107" s="159"/>
      <c r="AD107" s="6"/>
      <c r="AE107" s="6"/>
      <c r="AF107" s="23"/>
      <c r="AG107" s="6"/>
      <c r="AH107" s="6"/>
      <c r="AI107" s="101">
        <f t="shared" si="7"/>
        <v>0</v>
      </c>
    </row>
    <row r="108" spans="1:35" ht="38.25" x14ac:dyDescent="0.2">
      <c r="A108" s="16" t="s">
        <v>183</v>
      </c>
      <c r="B108" s="23"/>
      <c r="C108" s="23"/>
      <c r="D108" s="23"/>
      <c r="E108" s="214"/>
      <c r="F108" s="23"/>
      <c r="G108" s="6"/>
      <c r="H108" s="6">
        <v>0</v>
      </c>
      <c r="I108" s="6"/>
      <c r="J108" s="59"/>
      <c r="K108" s="23"/>
      <c r="L108" s="6">
        <v>5500</v>
      </c>
      <c r="M108" s="6"/>
      <c r="N108" s="24"/>
      <c r="O108" s="56"/>
      <c r="P108" s="6">
        <v>0</v>
      </c>
      <c r="Q108" s="56"/>
      <c r="R108" s="59"/>
      <c r="S108" s="6"/>
      <c r="T108" s="23"/>
      <c r="U108" s="6">
        <v>0</v>
      </c>
      <c r="V108" s="6"/>
      <c r="W108" s="6"/>
      <c r="X108" s="6"/>
      <c r="Y108" s="24"/>
      <c r="Z108" s="159"/>
      <c r="AA108" s="6"/>
      <c r="AB108" s="24"/>
      <c r="AC108" s="159"/>
      <c r="AD108" s="6"/>
      <c r="AE108" s="6"/>
      <c r="AF108" s="23"/>
      <c r="AG108" s="6"/>
      <c r="AH108" s="6"/>
      <c r="AI108" s="101">
        <f t="shared" si="7"/>
        <v>0</v>
      </c>
    </row>
    <row r="109" spans="1:35" ht="38.25" x14ac:dyDescent="0.2">
      <c r="A109" s="16" t="s">
        <v>184</v>
      </c>
      <c r="B109" s="23"/>
      <c r="C109" s="23"/>
      <c r="D109" s="23"/>
      <c r="E109" s="214"/>
      <c r="F109" s="23"/>
      <c r="G109" s="6"/>
      <c r="H109" s="6">
        <v>10571</v>
      </c>
      <c r="I109" s="6"/>
      <c r="J109" s="59"/>
      <c r="K109" s="23"/>
      <c r="L109" s="6">
        <v>113428</v>
      </c>
      <c r="M109" s="6"/>
      <c r="N109" s="24"/>
      <c r="O109" s="56"/>
      <c r="P109" s="6">
        <v>52000</v>
      </c>
      <c r="Q109" s="56"/>
      <c r="R109" s="59"/>
      <c r="S109" s="6"/>
      <c r="T109" s="23"/>
      <c r="U109" s="6">
        <v>0</v>
      </c>
      <c r="V109" s="6"/>
      <c r="W109" s="6"/>
      <c r="X109" s="6"/>
      <c r="Y109" s="24"/>
      <c r="Z109" s="159"/>
      <c r="AA109" s="6"/>
      <c r="AB109" s="24"/>
      <c r="AC109" s="159"/>
      <c r="AD109" s="6"/>
      <c r="AE109" s="6"/>
      <c r="AF109" s="23"/>
      <c r="AG109" s="6"/>
      <c r="AH109" s="6"/>
      <c r="AI109" s="101">
        <f t="shared" si="7"/>
        <v>0</v>
      </c>
    </row>
    <row r="110" spans="1:35" ht="25.5" x14ac:dyDescent="0.2">
      <c r="A110" s="16" t="s">
        <v>185</v>
      </c>
      <c r="B110" s="23"/>
      <c r="C110" s="23"/>
      <c r="D110" s="23"/>
      <c r="E110" s="214"/>
      <c r="F110" s="23"/>
      <c r="G110" s="6"/>
      <c r="H110" s="6">
        <v>53656</v>
      </c>
      <c r="I110" s="6"/>
      <c r="J110" s="59"/>
      <c r="K110" s="47"/>
      <c r="L110" s="6">
        <v>0</v>
      </c>
      <c r="M110" s="6"/>
      <c r="N110" s="24"/>
      <c r="O110" s="56"/>
      <c r="P110" s="6">
        <v>0</v>
      </c>
      <c r="Q110" s="56"/>
      <c r="R110" s="59"/>
      <c r="S110" s="6"/>
      <c r="T110" s="23"/>
      <c r="U110" s="6">
        <v>0</v>
      </c>
      <c r="V110" s="6"/>
      <c r="W110" s="6"/>
      <c r="X110" s="6"/>
      <c r="Y110" s="24"/>
      <c r="Z110" s="159"/>
      <c r="AA110" s="6"/>
      <c r="AB110" s="24"/>
      <c r="AC110" s="159"/>
      <c r="AD110" s="6"/>
      <c r="AE110" s="6"/>
      <c r="AF110" s="23"/>
      <c r="AG110" s="6"/>
      <c r="AH110" s="6"/>
      <c r="AI110" s="101">
        <f t="shared" si="7"/>
        <v>0</v>
      </c>
    </row>
    <row r="111" spans="1:35" ht="25.5" x14ac:dyDescent="0.2">
      <c r="A111" s="19" t="s">
        <v>186</v>
      </c>
      <c r="B111" s="23"/>
      <c r="C111" s="23"/>
      <c r="D111" s="23"/>
      <c r="E111" s="214"/>
      <c r="F111" s="23"/>
      <c r="G111" s="6"/>
      <c r="H111" s="6">
        <v>0</v>
      </c>
      <c r="I111" s="6"/>
      <c r="J111" s="59"/>
      <c r="K111" s="47"/>
      <c r="L111" s="6">
        <v>25000</v>
      </c>
      <c r="M111" s="6"/>
      <c r="N111" s="24"/>
      <c r="O111" s="56"/>
      <c r="P111" s="6">
        <v>0</v>
      </c>
      <c r="Q111" s="56"/>
      <c r="R111" s="59"/>
      <c r="S111" s="6"/>
      <c r="T111" s="23"/>
      <c r="U111" s="6">
        <v>0</v>
      </c>
      <c r="V111" s="6"/>
      <c r="W111" s="6"/>
      <c r="X111" s="6"/>
      <c r="Y111" s="24"/>
      <c r="Z111" s="159"/>
      <c r="AA111" s="6"/>
      <c r="AB111" s="24"/>
      <c r="AC111" s="159"/>
      <c r="AD111" s="6"/>
      <c r="AE111" s="6"/>
      <c r="AF111" s="23"/>
      <c r="AG111" s="6"/>
      <c r="AH111" s="6"/>
      <c r="AI111" s="101">
        <f t="shared" si="7"/>
        <v>0</v>
      </c>
    </row>
    <row r="112" spans="1:35" ht="51" x14ac:dyDescent="0.2">
      <c r="A112" s="16" t="s">
        <v>187</v>
      </c>
      <c r="B112" s="23"/>
      <c r="C112" s="23"/>
      <c r="D112" s="23"/>
      <c r="E112" s="214"/>
      <c r="F112" s="23"/>
      <c r="G112" s="6"/>
      <c r="H112" s="6">
        <v>0</v>
      </c>
      <c r="I112" s="6"/>
      <c r="J112" s="59"/>
      <c r="K112" s="47"/>
      <c r="L112" s="6">
        <v>20250</v>
      </c>
      <c r="M112" s="6"/>
      <c r="N112" s="24"/>
      <c r="O112" s="56"/>
      <c r="P112" s="6">
        <v>17750</v>
      </c>
      <c r="Q112" s="56"/>
      <c r="R112" s="59"/>
      <c r="S112" s="6"/>
      <c r="T112" s="23"/>
      <c r="U112" s="6">
        <v>0</v>
      </c>
      <c r="V112" s="6"/>
      <c r="W112" s="6"/>
      <c r="X112" s="6"/>
      <c r="Y112" s="24"/>
      <c r="Z112" s="159"/>
      <c r="AA112" s="6"/>
      <c r="AB112" s="24"/>
      <c r="AC112" s="159"/>
      <c r="AD112" s="6"/>
      <c r="AE112" s="6"/>
      <c r="AF112" s="23"/>
      <c r="AG112" s="6"/>
      <c r="AH112" s="6"/>
      <c r="AI112" s="101">
        <f t="shared" si="7"/>
        <v>0</v>
      </c>
    </row>
    <row r="113" spans="1:35" ht="25.5" x14ac:dyDescent="0.2">
      <c r="A113" s="16" t="s">
        <v>188</v>
      </c>
      <c r="B113" s="23"/>
      <c r="C113" s="23"/>
      <c r="D113" s="23"/>
      <c r="E113" s="214"/>
      <c r="F113" s="241">
        <f>162175.28-30000</f>
        <v>132175.28</v>
      </c>
      <c r="G113" s="6"/>
      <c r="H113" s="6">
        <v>57200</v>
      </c>
      <c r="I113" s="6"/>
      <c r="J113" s="59"/>
      <c r="K113" s="23"/>
      <c r="L113" s="6">
        <v>500</v>
      </c>
      <c r="M113" s="6"/>
      <c r="N113" s="24"/>
      <c r="O113" s="56"/>
      <c r="P113" s="6">
        <v>0</v>
      </c>
      <c r="Q113" s="56"/>
      <c r="R113" s="59"/>
      <c r="S113" s="6"/>
      <c r="T113" s="23"/>
      <c r="U113" s="6">
        <v>0</v>
      </c>
      <c r="V113" s="6"/>
      <c r="W113" s="6"/>
      <c r="X113" s="6"/>
      <c r="Y113" s="24"/>
      <c r="Z113" s="159"/>
      <c r="AA113" s="6"/>
      <c r="AB113" s="24"/>
      <c r="AC113" s="159"/>
      <c r="AD113" s="6"/>
      <c r="AE113" s="6"/>
      <c r="AF113" s="23"/>
      <c r="AG113" s="6"/>
      <c r="AH113" s="6"/>
      <c r="AI113" s="101">
        <f t="shared" ref="AI113:AI126" si="8">C113+D113+I113+M113+Q113+V113-E113-J113-N113-R113-X113</f>
        <v>0</v>
      </c>
    </row>
    <row r="114" spans="1:35" ht="25.5" x14ac:dyDescent="0.2">
      <c r="A114" s="16" t="s">
        <v>189</v>
      </c>
      <c r="B114" s="23"/>
      <c r="C114" s="23"/>
      <c r="D114" s="23"/>
      <c r="E114" s="214"/>
      <c r="F114" s="23"/>
      <c r="G114" s="6"/>
      <c r="H114" s="6">
        <v>30678</v>
      </c>
      <c r="I114" s="6"/>
      <c r="J114" s="59"/>
      <c r="K114" s="47"/>
      <c r="L114" s="6">
        <v>0</v>
      </c>
      <c r="M114" s="6"/>
      <c r="N114" s="24"/>
      <c r="O114" s="56"/>
      <c r="P114" s="6">
        <v>0</v>
      </c>
      <c r="Q114" s="56"/>
      <c r="R114" s="59"/>
      <c r="S114" s="6"/>
      <c r="T114" s="23"/>
      <c r="U114" s="6">
        <v>0</v>
      </c>
      <c r="V114" s="6"/>
      <c r="W114" s="6"/>
      <c r="X114" s="6"/>
      <c r="Y114" s="24"/>
      <c r="Z114" s="159"/>
      <c r="AA114" s="6"/>
      <c r="AB114" s="24"/>
      <c r="AC114" s="159"/>
      <c r="AD114" s="6"/>
      <c r="AE114" s="6"/>
      <c r="AF114" s="23"/>
      <c r="AG114" s="6"/>
      <c r="AH114" s="6"/>
      <c r="AI114" s="101">
        <f t="shared" si="8"/>
        <v>0</v>
      </c>
    </row>
    <row r="115" spans="1:35" ht="25.5" x14ac:dyDescent="0.2">
      <c r="A115" s="16" t="s">
        <v>190</v>
      </c>
      <c r="B115" s="23"/>
      <c r="C115" s="23"/>
      <c r="D115" s="23"/>
      <c r="E115" s="214"/>
      <c r="F115" s="23"/>
      <c r="G115" s="6"/>
      <c r="H115" s="6">
        <v>40000</v>
      </c>
      <c r="I115" s="6"/>
      <c r="J115" s="59"/>
      <c r="K115" s="23"/>
      <c r="L115" s="6">
        <v>0</v>
      </c>
      <c r="M115" s="6"/>
      <c r="N115" s="24"/>
      <c r="O115" s="56"/>
      <c r="P115" s="6">
        <v>0</v>
      </c>
      <c r="Q115" s="56"/>
      <c r="R115" s="59"/>
      <c r="S115" s="6"/>
      <c r="T115" s="23"/>
      <c r="U115" s="6">
        <v>0</v>
      </c>
      <c r="V115" s="6"/>
      <c r="W115" s="6"/>
      <c r="X115" s="6"/>
      <c r="Y115" s="24"/>
      <c r="Z115" s="159"/>
      <c r="AA115" s="6"/>
      <c r="AB115" s="24"/>
      <c r="AC115" s="159"/>
      <c r="AD115" s="6"/>
      <c r="AE115" s="6"/>
      <c r="AF115" s="23"/>
      <c r="AG115" s="6"/>
      <c r="AH115" s="6"/>
      <c r="AI115" s="101">
        <f t="shared" si="8"/>
        <v>0</v>
      </c>
    </row>
    <row r="116" spans="1:35" ht="38.25" x14ac:dyDescent="0.2">
      <c r="A116" s="16" t="s">
        <v>191</v>
      </c>
      <c r="B116" s="23"/>
      <c r="C116" s="23"/>
      <c r="D116" s="23"/>
      <c r="E116" s="214"/>
      <c r="F116" s="23"/>
      <c r="G116" s="6"/>
      <c r="H116" s="6">
        <v>500</v>
      </c>
      <c r="I116" s="6"/>
      <c r="J116" s="59"/>
      <c r="K116" s="23"/>
      <c r="L116" s="6">
        <v>25639</v>
      </c>
      <c r="M116" s="6"/>
      <c r="N116" s="24"/>
      <c r="O116" s="56"/>
      <c r="P116" s="6">
        <v>25000</v>
      </c>
      <c r="Q116" s="56"/>
      <c r="R116" s="59"/>
      <c r="S116" s="6"/>
      <c r="T116" s="23"/>
      <c r="U116" s="6">
        <v>0</v>
      </c>
      <c r="V116" s="6"/>
      <c r="W116" s="6"/>
      <c r="X116" s="6"/>
      <c r="Y116" s="24"/>
      <c r="Z116" s="159"/>
      <c r="AA116" s="6"/>
      <c r="AB116" s="24"/>
      <c r="AC116" s="159"/>
      <c r="AD116" s="6"/>
      <c r="AE116" s="6"/>
      <c r="AF116" s="23"/>
      <c r="AG116" s="6"/>
      <c r="AH116" s="6"/>
      <c r="AI116" s="101">
        <f t="shared" si="8"/>
        <v>0</v>
      </c>
    </row>
    <row r="117" spans="1:35" ht="38.25" x14ac:dyDescent="0.2">
      <c r="A117" s="16" t="s">
        <v>192</v>
      </c>
      <c r="B117" s="23"/>
      <c r="C117" s="23"/>
      <c r="D117" s="23"/>
      <c r="E117" s="214"/>
      <c r="F117" s="23"/>
      <c r="G117" s="6"/>
      <c r="H117" s="6">
        <v>6200</v>
      </c>
      <c r="I117" s="6"/>
      <c r="J117" s="59"/>
      <c r="K117" s="23"/>
      <c r="L117" s="6">
        <v>0</v>
      </c>
      <c r="M117" s="6"/>
      <c r="N117" s="24"/>
      <c r="O117" s="56"/>
      <c r="P117" s="6">
        <v>0</v>
      </c>
      <c r="Q117" s="56"/>
      <c r="R117" s="59"/>
      <c r="S117" s="6"/>
      <c r="T117" s="23"/>
      <c r="U117" s="6">
        <v>0</v>
      </c>
      <c r="V117" s="6"/>
      <c r="W117" s="6"/>
      <c r="X117" s="6"/>
      <c r="Y117" s="24"/>
      <c r="Z117" s="159"/>
      <c r="AA117" s="6"/>
      <c r="AB117" s="24"/>
      <c r="AC117" s="159"/>
      <c r="AD117" s="6"/>
      <c r="AE117" s="6"/>
      <c r="AF117" s="23"/>
      <c r="AG117" s="6"/>
      <c r="AH117" s="6"/>
      <c r="AI117" s="101">
        <f t="shared" si="8"/>
        <v>0</v>
      </c>
    </row>
    <row r="118" spans="1:35" ht="25.5" x14ac:dyDescent="0.2">
      <c r="A118" s="16" t="s">
        <v>193</v>
      </c>
      <c r="B118" s="23"/>
      <c r="C118" s="23"/>
      <c r="D118" s="23"/>
      <c r="E118" s="214"/>
      <c r="F118" s="23"/>
      <c r="G118" s="6"/>
      <c r="H118" s="6">
        <v>29</v>
      </c>
      <c r="I118" s="6"/>
      <c r="J118" s="59"/>
      <c r="K118" s="47"/>
      <c r="L118" s="6">
        <v>11036</v>
      </c>
      <c r="M118" s="6"/>
      <c r="N118" s="24"/>
      <c r="O118" s="56"/>
      <c r="P118" s="6">
        <v>0</v>
      </c>
      <c r="Q118" s="56"/>
      <c r="R118" s="59"/>
      <c r="S118" s="6"/>
      <c r="T118" s="23"/>
      <c r="U118" s="6">
        <v>0</v>
      </c>
      <c r="V118" s="6"/>
      <c r="W118" s="6"/>
      <c r="X118" s="6"/>
      <c r="Y118" s="24"/>
      <c r="Z118" s="159"/>
      <c r="AA118" s="6"/>
      <c r="AB118" s="24"/>
      <c r="AC118" s="159"/>
      <c r="AD118" s="6"/>
      <c r="AE118" s="6"/>
      <c r="AF118" s="23"/>
      <c r="AG118" s="6"/>
      <c r="AH118" s="6"/>
      <c r="AI118" s="101">
        <f t="shared" si="8"/>
        <v>0</v>
      </c>
    </row>
    <row r="119" spans="1:35" ht="25.5" x14ac:dyDescent="0.2">
      <c r="A119" s="16" t="s">
        <v>222</v>
      </c>
      <c r="B119" s="23"/>
      <c r="C119" s="23"/>
      <c r="D119" s="23"/>
      <c r="E119" s="214"/>
      <c r="F119" s="23"/>
      <c r="G119" s="6"/>
      <c r="H119" s="6">
        <v>350</v>
      </c>
      <c r="I119" s="6"/>
      <c r="J119" s="59"/>
      <c r="K119" s="47"/>
      <c r="L119" s="6">
        <v>14000</v>
      </c>
      <c r="M119" s="6"/>
      <c r="N119" s="24"/>
      <c r="O119" s="56"/>
      <c r="P119" s="6"/>
      <c r="Q119" s="56"/>
      <c r="R119" s="59"/>
      <c r="S119" s="6"/>
      <c r="T119" s="23"/>
      <c r="U119" s="6"/>
      <c r="V119" s="6"/>
      <c r="W119" s="6"/>
      <c r="X119" s="6"/>
      <c r="Y119" s="24"/>
      <c r="Z119" s="159"/>
      <c r="AA119" s="6"/>
      <c r="AB119" s="24"/>
      <c r="AC119" s="159"/>
      <c r="AD119" s="6"/>
      <c r="AE119" s="6"/>
      <c r="AF119" s="23"/>
      <c r="AG119" s="6"/>
      <c r="AH119" s="6"/>
      <c r="AI119" s="101">
        <f t="shared" si="8"/>
        <v>0</v>
      </c>
    </row>
    <row r="120" spans="1:35" ht="38.25" x14ac:dyDescent="0.2">
      <c r="A120" s="16" t="s">
        <v>226</v>
      </c>
      <c r="B120" s="23"/>
      <c r="C120" s="23"/>
      <c r="D120" s="23"/>
      <c r="E120" s="214"/>
      <c r="F120" s="23"/>
      <c r="G120" s="6"/>
      <c r="H120" s="6"/>
      <c r="I120" s="6"/>
      <c r="J120" s="59"/>
      <c r="K120" s="23"/>
      <c r="L120" s="6">
        <v>11420</v>
      </c>
      <c r="M120" s="6"/>
      <c r="N120" s="24"/>
      <c r="O120" s="56"/>
      <c r="P120" s="6"/>
      <c r="Q120" s="56"/>
      <c r="R120" s="59"/>
      <c r="S120" s="6"/>
      <c r="T120" s="23"/>
      <c r="U120" s="6"/>
      <c r="V120" s="6"/>
      <c r="W120" s="6"/>
      <c r="X120" s="6"/>
      <c r="Y120" s="24"/>
      <c r="Z120" s="159"/>
      <c r="AA120" s="6"/>
      <c r="AB120" s="24"/>
      <c r="AC120" s="159"/>
      <c r="AD120" s="6"/>
      <c r="AE120" s="6"/>
      <c r="AF120" s="23"/>
      <c r="AG120" s="6"/>
      <c r="AH120" s="6"/>
      <c r="AI120" s="101">
        <f t="shared" si="8"/>
        <v>0</v>
      </c>
    </row>
    <row r="121" spans="1:35" ht="25.5" x14ac:dyDescent="0.2">
      <c r="A121" s="16" t="s">
        <v>235</v>
      </c>
      <c r="B121" s="23"/>
      <c r="C121" s="23"/>
      <c r="D121" s="23"/>
      <c r="E121" s="214"/>
      <c r="F121" s="23"/>
      <c r="G121" s="6"/>
      <c r="H121" s="6"/>
      <c r="I121" s="6"/>
      <c r="J121" s="59"/>
      <c r="K121" s="23"/>
      <c r="L121" s="6">
        <v>50000</v>
      </c>
      <c r="M121" s="6"/>
      <c r="N121" s="24"/>
      <c r="O121" s="56"/>
      <c r="P121" s="6">
        <v>20500</v>
      </c>
      <c r="Q121" s="56"/>
      <c r="R121" s="59"/>
      <c r="S121" s="6"/>
      <c r="T121" s="23"/>
      <c r="U121" s="6"/>
      <c r="V121" s="6"/>
      <c r="W121" s="6"/>
      <c r="X121" s="6"/>
      <c r="Y121" s="24"/>
      <c r="Z121" s="159"/>
      <c r="AA121" s="6"/>
      <c r="AB121" s="24"/>
      <c r="AC121" s="159"/>
      <c r="AD121" s="6"/>
      <c r="AE121" s="6"/>
      <c r="AF121" s="23"/>
      <c r="AG121" s="6"/>
      <c r="AH121" s="6"/>
      <c r="AI121" s="101">
        <f t="shared" si="8"/>
        <v>0</v>
      </c>
    </row>
    <row r="122" spans="1:35" ht="25.5" x14ac:dyDescent="0.2">
      <c r="A122" s="16" t="s">
        <v>223</v>
      </c>
      <c r="B122" s="23"/>
      <c r="C122" s="23"/>
      <c r="D122" s="23"/>
      <c r="E122" s="214"/>
      <c r="F122" s="23"/>
      <c r="G122" s="6"/>
      <c r="H122" s="6">
        <v>9120</v>
      </c>
      <c r="I122" s="6"/>
      <c r="J122" s="59"/>
      <c r="K122" s="23"/>
      <c r="L122" s="6"/>
      <c r="M122" s="6"/>
      <c r="N122" s="24"/>
      <c r="O122" s="56"/>
      <c r="P122" s="6"/>
      <c r="Q122" s="56"/>
      <c r="R122" s="59"/>
      <c r="S122" s="6"/>
      <c r="T122" s="23"/>
      <c r="U122" s="6"/>
      <c r="V122" s="6"/>
      <c r="W122" s="6"/>
      <c r="X122" s="6"/>
      <c r="Y122" s="24"/>
      <c r="Z122" s="159"/>
      <c r="AA122" s="6"/>
      <c r="AB122" s="24"/>
      <c r="AC122" s="159"/>
      <c r="AD122" s="6"/>
      <c r="AE122" s="6"/>
      <c r="AF122" s="23"/>
      <c r="AG122" s="6"/>
      <c r="AH122" s="6"/>
      <c r="AI122" s="101">
        <f t="shared" si="8"/>
        <v>0</v>
      </c>
    </row>
    <row r="123" spans="1:35" ht="25.5" x14ac:dyDescent="0.2">
      <c r="A123" s="16" t="s">
        <v>224</v>
      </c>
      <c r="B123" s="23"/>
      <c r="C123" s="23"/>
      <c r="D123" s="23"/>
      <c r="E123" s="214"/>
      <c r="F123" s="23"/>
      <c r="G123" s="6"/>
      <c r="H123" s="6">
        <v>127</v>
      </c>
      <c r="I123" s="6"/>
      <c r="J123" s="59"/>
      <c r="K123" s="23"/>
      <c r="L123" s="6">
        <v>21373</v>
      </c>
      <c r="M123" s="6"/>
      <c r="N123" s="24"/>
      <c r="O123" s="56"/>
      <c r="P123" s="6"/>
      <c r="Q123" s="56"/>
      <c r="R123" s="59"/>
      <c r="S123" s="6"/>
      <c r="T123" s="23"/>
      <c r="U123" s="6"/>
      <c r="V123" s="6"/>
      <c r="W123" s="6"/>
      <c r="X123" s="6"/>
      <c r="Y123" s="24"/>
      <c r="Z123" s="159"/>
      <c r="AA123" s="6"/>
      <c r="AB123" s="24"/>
      <c r="AC123" s="159"/>
      <c r="AD123" s="6"/>
      <c r="AE123" s="6"/>
      <c r="AF123" s="23"/>
      <c r="AG123" s="6"/>
      <c r="AH123" s="6"/>
      <c r="AI123" s="101">
        <f t="shared" si="8"/>
        <v>0</v>
      </c>
    </row>
    <row r="124" spans="1:35" ht="25.5" x14ac:dyDescent="0.2">
      <c r="A124" s="16" t="s">
        <v>225</v>
      </c>
      <c r="B124" s="23"/>
      <c r="C124" s="23"/>
      <c r="D124" s="23"/>
      <c r="E124" s="214"/>
      <c r="F124" s="23"/>
      <c r="G124" s="6"/>
      <c r="H124" s="6">
        <v>23000</v>
      </c>
      <c r="I124" s="6"/>
      <c r="J124" s="59"/>
      <c r="K124" s="23"/>
      <c r="L124" s="6">
        <v>2000</v>
      </c>
      <c r="M124" s="6"/>
      <c r="N124" s="24"/>
      <c r="O124" s="56"/>
      <c r="P124" s="6"/>
      <c r="Q124" s="56"/>
      <c r="R124" s="59"/>
      <c r="S124" s="6"/>
      <c r="T124" s="23"/>
      <c r="U124" s="6"/>
      <c r="V124" s="6"/>
      <c r="W124" s="6"/>
      <c r="X124" s="6"/>
      <c r="Y124" s="24"/>
      <c r="Z124" s="159"/>
      <c r="AA124" s="6"/>
      <c r="AB124" s="24"/>
      <c r="AC124" s="159"/>
      <c r="AD124" s="6"/>
      <c r="AE124" s="6"/>
      <c r="AF124" s="23"/>
      <c r="AG124" s="6"/>
      <c r="AH124" s="6"/>
      <c r="AI124" s="101">
        <f t="shared" si="8"/>
        <v>0</v>
      </c>
    </row>
    <row r="125" spans="1:35" ht="25.5" x14ac:dyDescent="0.2">
      <c r="A125" s="16" t="s">
        <v>243</v>
      </c>
      <c r="B125" s="23"/>
      <c r="C125" s="23"/>
      <c r="D125" s="23"/>
      <c r="E125" s="214"/>
      <c r="F125" s="23"/>
      <c r="G125" s="6"/>
      <c r="H125" s="6">
        <v>7950</v>
      </c>
      <c r="I125" s="6"/>
      <c r="J125" s="59"/>
      <c r="K125" s="23"/>
      <c r="L125" s="6"/>
      <c r="M125" s="6"/>
      <c r="N125" s="24"/>
      <c r="O125" s="56"/>
      <c r="P125" s="6"/>
      <c r="Q125" s="56"/>
      <c r="R125" s="59"/>
      <c r="S125" s="6"/>
      <c r="T125" s="23"/>
      <c r="U125" s="6"/>
      <c r="V125" s="6"/>
      <c r="W125" s="6"/>
      <c r="X125" s="6"/>
      <c r="Y125" s="24"/>
      <c r="Z125" s="159"/>
      <c r="AA125" s="6"/>
      <c r="AB125" s="24"/>
      <c r="AC125" s="159"/>
      <c r="AD125" s="6"/>
      <c r="AE125" s="6"/>
      <c r="AF125" s="23"/>
      <c r="AG125" s="6"/>
      <c r="AH125" s="6"/>
      <c r="AI125" s="101">
        <f t="shared" si="8"/>
        <v>0</v>
      </c>
    </row>
    <row r="126" spans="1:35" ht="25.5" x14ac:dyDescent="0.2">
      <c r="A126" s="16" t="s">
        <v>240</v>
      </c>
      <c r="B126" s="23"/>
      <c r="C126" s="23"/>
      <c r="D126" s="23"/>
      <c r="E126" s="214"/>
      <c r="F126" s="23"/>
      <c r="G126" s="6"/>
      <c r="H126" s="6"/>
      <c r="I126" s="6"/>
      <c r="J126" s="59"/>
      <c r="K126" s="23"/>
      <c r="L126" s="6"/>
      <c r="M126" s="6">
        <v>0</v>
      </c>
      <c r="N126" s="24"/>
      <c r="O126" s="56"/>
      <c r="P126" s="6"/>
      <c r="Q126" s="56">
        <v>0</v>
      </c>
      <c r="R126" s="59"/>
      <c r="S126" s="6">
        <v>42000</v>
      </c>
      <c r="T126" s="23"/>
      <c r="U126" s="6"/>
      <c r="V126" s="6"/>
      <c r="W126" s="6">
        <v>9600</v>
      </c>
      <c r="X126" s="6"/>
      <c r="Y126" s="24"/>
      <c r="Z126" s="159"/>
      <c r="AA126" s="6"/>
      <c r="AB126" s="24">
        <v>51600</v>
      </c>
      <c r="AC126" s="159"/>
      <c r="AD126" s="6"/>
      <c r="AE126" s="6"/>
      <c r="AF126" s="23"/>
      <c r="AG126" s="6"/>
      <c r="AH126" s="6"/>
      <c r="AI126" s="101">
        <f t="shared" si="8"/>
        <v>0</v>
      </c>
    </row>
    <row r="127" spans="1:35" s="8" customFormat="1" x14ac:dyDescent="0.2">
      <c r="A127" s="17" t="s">
        <v>28</v>
      </c>
      <c r="B127" s="25">
        <f t="shared" ref="B127:S127" si="9">SUM(B75:B126)</f>
        <v>0</v>
      </c>
      <c r="C127" s="25">
        <f t="shared" si="9"/>
        <v>26405.047129999999</v>
      </c>
      <c r="D127" s="25">
        <f t="shared" si="9"/>
        <v>11784.489999999998</v>
      </c>
      <c r="E127" s="142">
        <f t="shared" si="9"/>
        <v>26992.61</v>
      </c>
      <c r="F127" s="199">
        <f t="shared" si="9"/>
        <v>132175.28</v>
      </c>
      <c r="G127" s="191">
        <f t="shared" si="9"/>
        <v>359.74</v>
      </c>
      <c r="H127" s="191">
        <f t="shared" si="9"/>
        <v>315479</v>
      </c>
      <c r="I127" s="191">
        <f t="shared" si="9"/>
        <v>41882.479999999996</v>
      </c>
      <c r="J127" s="218">
        <f t="shared" si="9"/>
        <v>14760.710000000001</v>
      </c>
      <c r="K127" s="199">
        <f t="shared" si="9"/>
        <v>0</v>
      </c>
      <c r="L127" s="191">
        <f t="shared" si="9"/>
        <v>437113</v>
      </c>
      <c r="M127" s="191">
        <f t="shared" si="9"/>
        <v>63950</v>
      </c>
      <c r="N127" s="200">
        <f t="shared" si="9"/>
        <v>17810</v>
      </c>
      <c r="O127" s="200">
        <f t="shared" si="9"/>
        <v>0</v>
      </c>
      <c r="P127" s="191">
        <f t="shared" si="9"/>
        <v>166250</v>
      </c>
      <c r="Q127" s="15">
        <f t="shared" si="9"/>
        <v>173795</v>
      </c>
      <c r="R127" s="60">
        <f t="shared" si="9"/>
        <v>186070</v>
      </c>
      <c r="S127" s="60">
        <f t="shared" si="9"/>
        <v>42000</v>
      </c>
      <c r="T127" s="199"/>
      <c r="U127" s="191">
        <f>SUM(U75:U126)</f>
        <v>27610</v>
      </c>
      <c r="V127" s="191">
        <f>SUM(V75:V126)</f>
        <v>0</v>
      </c>
      <c r="W127" s="191">
        <f>SUM(W75:W126)</f>
        <v>168640</v>
      </c>
      <c r="X127" s="191">
        <f>SUM(X75:X126)</f>
        <v>91975</v>
      </c>
      <c r="Y127" s="200">
        <f>SUM(Y75:Y126)</f>
        <v>0</v>
      </c>
      <c r="Z127" s="205"/>
      <c r="AA127" s="191">
        <f t="shared" ref="AA127:AH127" si="10">SUM(AA75:AA126)</f>
        <v>392705</v>
      </c>
      <c r="AB127" s="200">
        <f t="shared" si="10"/>
        <v>210640</v>
      </c>
      <c r="AC127" s="15">
        <f t="shared" si="10"/>
        <v>0</v>
      </c>
      <c r="AD127" s="15">
        <f t="shared" si="10"/>
        <v>445500</v>
      </c>
      <c r="AE127" s="15">
        <f t="shared" si="10"/>
        <v>372705</v>
      </c>
      <c r="AF127" s="15">
        <f t="shared" si="10"/>
        <v>0</v>
      </c>
      <c r="AG127" s="15">
        <f t="shared" si="10"/>
        <v>0</v>
      </c>
      <c r="AH127" s="15">
        <f t="shared" si="10"/>
        <v>445500</v>
      </c>
      <c r="AI127" s="101">
        <f t="shared" ref="AI127:AI196" si="11">C127+D127+I127+M127+Q127+V127-E127-J127-N127-R127-X127</f>
        <v>-19791.302870000014</v>
      </c>
    </row>
    <row r="128" spans="1:35" s="8" customFormat="1" x14ac:dyDescent="0.2">
      <c r="A128" s="178" t="s">
        <v>228</v>
      </c>
      <c r="B128" s="43"/>
      <c r="C128" s="43"/>
      <c r="D128" s="43"/>
      <c r="E128" s="213"/>
      <c r="F128" s="43"/>
      <c r="G128" s="45"/>
      <c r="H128" s="45"/>
      <c r="I128" s="45">
        <v>0</v>
      </c>
      <c r="J128" s="58"/>
      <c r="K128" s="43"/>
      <c r="L128" s="45"/>
      <c r="M128" s="45">
        <v>35606</v>
      </c>
      <c r="N128" s="46">
        <v>0</v>
      </c>
      <c r="O128" s="55"/>
      <c r="P128" s="45"/>
      <c r="Q128" s="55">
        <v>8820</v>
      </c>
      <c r="R128" s="58">
        <v>44426</v>
      </c>
      <c r="S128" s="45"/>
      <c r="T128" s="43"/>
      <c r="U128" s="45"/>
      <c r="V128" s="45"/>
      <c r="W128" s="45"/>
      <c r="X128" s="45"/>
      <c r="Y128" s="46"/>
      <c r="Z128" s="146"/>
      <c r="AA128" s="45"/>
      <c r="AB128" s="46"/>
      <c r="AC128" s="146"/>
      <c r="AD128" s="45"/>
      <c r="AE128" s="45"/>
      <c r="AF128" s="43"/>
      <c r="AG128" s="45"/>
      <c r="AH128" s="45"/>
      <c r="AI128" s="101">
        <f>C128+D128+I128+M128+Q128+V128-E128-J128-N128-R128-X128</f>
        <v>0</v>
      </c>
    </row>
    <row r="129" spans="1:35" s="8" customFormat="1" x14ac:dyDescent="0.2">
      <c r="A129" s="178" t="s">
        <v>229</v>
      </c>
      <c r="B129" s="43"/>
      <c r="C129" s="43"/>
      <c r="D129" s="43"/>
      <c r="E129" s="213"/>
      <c r="F129" s="43"/>
      <c r="G129" s="45"/>
      <c r="H129" s="45"/>
      <c r="I129" s="45">
        <v>0</v>
      </c>
      <c r="J129" s="58"/>
      <c r="K129" s="43"/>
      <c r="L129" s="45"/>
      <c r="M129" s="45">
        <v>17403</v>
      </c>
      <c r="N129" s="46">
        <v>17403</v>
      </c>
      <c r="O129" s="55"/>
      <c r="P129" s="45"/>
      <c r="Q129" s="55"/>
      <c r="R129" s="58"/>
      <c r="S129" s="45"/>
      <c r="T129" s="43"/>
      <c r="U129" s="45"/>
      <c r="V129" s="45"/>
      <c r="W129" s="45"/>
      <c r="X129" s="45"/>
      <c r="Y129" s="46"/>
      <c r="Z129" s="146"/>
      <c r="AA129" s="45"/>
      <c r="AB129" s="46"/>
      <c r="AC129" s="146"/>
      <c r="AD129" s="45"/>
      <c r="AE129" s="45"/>
      <c r="AF129" s="43"/>
      <c r="AG129" s="45"/>
      <c r="AH129" s="45"/>
      <c r="AI129" s="101">
        <f>C129+D129+I129+M129+Q129+V129-E129-J129-N129-R129-X129</f>
        <v>0</v>
      </c>
    </row>
    <row r="130" spans="1:35" s="8" customFormat="1" x14ac:dyDescent="0.2">
      <c r="A130" s="178" t="s">
        <v>230</v>
      </c>
      <c r="B130" s="43"/>
      <c r="C130" s="43"/>
      <c r="D130" s="43"/>
      <c r="E130" s="213"/>
      <c r="F130" s="43"/>
      <c r="G130" s="45"/>
      <c r="H130" s="45"/>
      <c r="I130" s="45">
        <v>0</v>
      </c>
      <c r="J130" s="58"/>
      <c r="K130" s="43"/>
      <c r="L130" s="45"/>
      <c r="M130" s="45">
        <v>23000</v>
      </c>
      <c r="N130" s="46"/>
      <c r="O130" s="55"/>
      <c r="P130" s="45"/>
      <c r="Q130" s="55">
        <v>0</v>
      </c>
      <c r="R130" s="58">
        <v>23000</v>
      </c>
      <c r="S130" s="45"/>
      <c r="T130" s="43"/>
      <c r="U130" s="45"/>
      <c r="V130" s="45"/>
      <c r="W130" s="45"/>
      <c r="X130" s="45"/>
      <c r="Y130" s="46"/>
      <c r="Z130" s="146"/>
      <c r="AA130" s="45"/>
      <c r="AB130" s="46"/>
      <c r="AC130" s="146"/>
      <c r="AD130" s="45"/>
      <c r="AE130" s="45"/>
      <c r="AF130" s="43"/>
      <c r="AG130" s="45"/>
      <c r="AH130" s="45"/>
      <c r="AI130" s="101">
        <f>C130+D130+I130+M130+Q130+V130-E130-J130-N130-R130-X130</f>
        <v>0</v>
      </c>
    </row>
    <row r="131" spans="1:35" s="37" customFormat="1" x14ac:dyDescent="0.2">
      <c r="A131" s="130" t="s">
        <v>210</v>
      </c>
      <c r="B131" s="43"/>
      <c r="C131" s="43"/>
      <c r="D131" s="43"/>
      <c r="E131" s="213"/>
      <c r="F131" s="43"/>
      <c r="G131" s="45"/>
      <c r="H131" s="45"/>
      <c r="I131" s="45"/>
      <c r="J131" s="58"/>
      <c r="K131" s="43"/>
      <c r="L131" s="45"/>
      <c r="M131" s="45"/>
      <c r="N131" s="46"/>
      <c r="O131" s="55"/>
      <c r="P131" s="45"/>
      <c r="Q131" s="55">
        <v>0</v>
      </c>
      <c r="R131" s="58"/>
      <c r="S131" s="45"/>
      <c r="T131" s="43"/>
      <c r="U131" s="45"/>
      <c r="V131" s="45"/>
      <c r="W131" s="45"/>
      <c r="X131" s="45">
        <v>0</v>
      </c>
      <c r="Y131" s="46"/>
      <c r="Z131" s="146"/>
      <c r="AA131" s="45"/>
      <c r="AB131" s="46"/>
      <c r="AC131" s="146"/>
      <c r="AD131" s="45"/>
      <c r="AE131" s="45"/>
      <c r="AF131" s="43"/>
      <c r="AG131" s="45"/>
      <c r="AH131" s="45"/>
      <c r="AI131" s="101">
        <f>C131+D131+I131+M131+Q131+V131-E131-J131-N131-R131-X131</f>
        <v>0</v>
      </c>
    </row>
    <row r="132" spans="1:35" s="37" customFormat="1" x14ac:dyDescent="0.2">
      <c r="A132" s="130" t="s">
        <v>91</v>
      </c>
      <c r="B132" s="43"/>
      <c r="C132" s="43"/>
      <c r="D132" s="43"/>
      <c r="E132" s="213"/>
      <c r="F132" s="43"/>
      <c r="G132" s="45"/>
      <c r="H132" s="45"/>
      <c r="I132" s="45"/>
      <c r="J132" s="58"/>
      <c r="K132" s="43"/>
      <c r="L132" s="45"/>
      <c r="M132" s="45"/>
      <c r="N132" s="46"/>
      <c r="O132" s="55"/>
      <c r="P132" s="45"/>
      <c r="Q132" s="55">
        <v>35000</v>
      </c>
      <c r="R132" s="58">
        <v>0</v>
      </c>
      <c r="S132" s="6"/>
      <c r="T132" s="43"/>
      <c r="U132" s="6"/>
      <c r="V132" s="6"/>
      <c r="W132" s="6">
        <v>80500</v>
      </c>
      <c r="X132" s="6">
        <v>35000</v>
      </c>
      <c r="Y132" s="24"/>
      <c r="Z132" s="159"/>
      <c r="AA132" s="6"/>
      <c r="AB132" s="24">
        <v>80500</v>
      </c>
      <c r="AC132" s="159"/>
      <c r="AD132" s="6"/>
      <c r="AE132" s="6"/>
      <c r="AF132" s="23"/>
      <c r="AG132" s="6"/>
      <c r="AH132" s="6"/>
      <c r="AI132" s="101">
        <f t="shared" si="11"/>
        <v>0</v>
      </c>
    </row>
    <row r="133" spans="1:35" s="8" customFormat="1" x14ac:dyDescent="0.2">
      <c r="A133" s="157" t="s">
        <v>212</v>
      </c>
      <c r="B133" s="43"/>
      <c r="C133" s="43"/>
      <c r="D133" s="43"/>
      <c r="E133" s="213"/>
      <c r="F133" s="43"/>
      <c r="G133" s="45"/>
      <c r="H133" s="45"/>
      <c r="I133" s="45"/>
      <c r="J133" s="58"/>
      <c r="K133" s="43"/>
      <c r="L133" s="45"/>
      <c r="M133" s="45"/>
      <c r="N133" s="46"/>
      <c r="O133" s="55"/>
      <c r="P133" s="45"/>
      <c r="Q133" s="55">
        <v>29500</v>
      </c>
      <c r="R133" s="58"/>
      <c r="S133" s="45"/>
      <c r="T133" s="43"/>
      <c r="U133" s="45"/>
      <c r="V133" s="45"/>
      <c r="W133" s="45">
        <v>140000</v>
      </c>
      <c r="X133" s="45">
        <v>29500</v>
      </c>
      <c r="Y133" s="46">
        <v>64550</v>
      </c>
      <c r="Z133" s="146"/>
      <c r="AA133" s="45">
        <v>242000</v>
      </c>
      <c r="AB133" s="46">
        <v>180750</v>
      </c>
      <c r="AC133" s="146"/>
      <c r="AD133" s="45">
        <v>81000</v>
      </c>
      <c r="AE133" s="45">
        <v>164750</v>
      </c>
      <c r="AF133" s="43"/>
      <c r="AG133" s="45"/>
      <c r="AH133" s="45">
        <v>52950</v>
      </c>
      <c r="AI133" s="101">
        <f t="shared" si="11"/>
        <v>0</v>
      </c>
    </row>
    <row r="134" spans="1:35" s="37" customFormat="1" ht="25.5" x14ac:dyDescent="0.2">
      <c r="A134" s="132" t="s">
        <v>144</v>
      </c>
      <c r="B134" s="43"/>
      <c r="C134" s="43"/>
      <c r="D134" s="43">
        <v>19688.03</v>
      </c>
      <c r="E134" s="213"/>
      <c r="F134" s="43"/>
      <c r="G134" s="45"/>
      <c r="H134" s="45"/>
      <c r="I134" s="45"/>
      <c r="J134" s="58">
        <v>19688.04</v>
      </c>
      <c r="K134" s="43"/>
      <c r="L134" s="45"/>
      <c r="M134" s="45"/>
      <c r="N134" s="46"/>
      <c r="O134" s="55"/>
      <c r="P134" s="45"/>
      <c r="Q134" s="55"/>
      <c r="R134" s="58"/>
      <c r="S134" s="6"/>
      <c r="T134" s="43"/>
      <c r="U134" s="6"/>
      <c r="V134" s="6"/>
      <c r="W134" s="6"/>
      <c r="X134" s="6"/>
      <c r="Y134" s="24"/>
      <c r="Z134" s="159"/>
      <c r="AA134" s="6"/>
      <c r="AB134" s="24"/>
      <c r="AC134" s="159"/>
      <c r="AD134" s="6"/>
      <c r="AE134" s="6"/>
      <c r="AF134" s="23"/>
      <c r="AG134" s="6"/>
      <c r="AH134" s="6"/>
      <c r="AI134" s="101">
        <f t="shared" si="11"/>
        <v>-1.0000000002037268E-2</v>
      </c>
    </row>
    <row r="135" spans="1:35" x14ac:dyDescent="0.2">
      <c r="A135" s="20" t="s">
        <v>19</v>
      </c>
      <c r="B135" s="23"/>
      <c r="C135" s="23"/>
      <c r="D135" s="23"/>
      <c r="E135" s="214"/>
      <c r="F135" s="23"/>
      <c r="G135" s="6"/>
      <c r="H135" s="7">
        <v>10000</v>
      </c>
      <c r="I135" s="7"/>
      <c r="J135" s="62"/>
      <c r="K135" s="23"/>
      <c r="L135" s="6">
        <v>85000</v>
      </c>
      <c r="M135" s="6"/>
      <c r="N135" s="24"/>
      <c r="O135" s="56"/>
      <c r="P135" s="6">
        <v>10000</v>
      </c>
      <c r="Q135" s="56"/>
      <c r="R135" s="59"/>
      <c r="S135" s="6"/>
      <c r="T135" s="23"/>
      <c r="U135" s="6"/>
      <c r="V135" s="6"/>
      <c r="W135" s="6"/>
      <c r="X135" s="6"/>
      <c r="Y135" s="24"/>
      <c r="Z135" s="159"/>
      <c r="AA135" s="6"/>
      <c r="AB135" s="24"/>
      <c r="AC135" s="159"/>
      <c r="AD135" s="6"/>
      <c r="AE135" s="6"/>
      <c r="AF135" s="23"/>
      <c r="AG135" s="6"/>
      <c r="AH135" s="6"/>
      <c r="AI135" s="101">
        <f t="shared" si="11"/>
        <v>0</v>
      </c>
    </row>
    <row r="136" spans="1:35" x14ac:dyDescent="0.2">
      <c r="A136" s="20" t="s">
        <v>20</v>
      </c>
      <c r="B136" s="23"/>
      <c r="C136" s="23"/>
      <c r="D136" s="23"/>
      <c r="E136" s="214"/>
      <c r="F136" s="23"/>
      <c r="G136" s="6"/>
      <c r="H136" s="6">
        <v>234.11</v>
      </c>
      <c r="I136" s="6"/>
      <c r="J136" s="59"/>
      <c r="K136" s="47"/>
      <c r="L136" s="6">
        <v>134182</v>
      </c>
      <c r="M136" s="6"/>
      <c r="N136" s="24"/>
      <c r="O136" s="56"/>
      <c r="P136" s="6">
        <v>50000</v>
      </c>
      <c r="Q136" s="56"/>
      <c r="R136" s="59"/>
      <c r="S136" s="6"/>
      <c r="T136" s="23"/>
      <c r="U136" s="6"/>
      <c r="V136" s="6"/>
      <c r="W136" s="6"/>
      <c r="X136" s="6"/>
      <c r="Y136" s="24"/>
      <c r="Z136" s="159"/>
      <c r="AA136" s="6"/>
      <c r="AB136" s="24"/>
      <c r="AC136" s="159"/>
      <c r="AD136" s="6"/>
      <c r="AE136" s="6"/>
      <c r="AF136" s="23"/>
      <c r="AG136" s="6"/>
      <c r="AH136" s="6"/>
      <c r="AI136" s="101">
        <f t="shared" si="11"/>
        <v>0</v>
      </c>
    </row>
    <row r="137" spans="1:35" x14ac:dyDescent="0.2">
      <c r="A137" s="20" t="s">
        <v>21</v>
      </c>
      <c r="B137" s="23"/>
      <c r="C137" s="23"/>
      <c r="D137" s="23"/>
      <c r="E137" s="214"/>
      <c r="F137" s="23"/>
      <c r="G137" s="6"/>
      <c r="H137" s="6">
        <v>1100</v>
      </c>
      <c r="I137" s="6"/>
      <c r="J137" s="59"/>
      <c r="K137" s="47"/>
      <c r="L137" s="6">
        <v>22900</v>
      </c>
      <c r="M137" s="6"/>
      <c r="N137" s="24"/>
      <c r="O137" s="56"/>
      <c r="P137" s="6"/>
      <c r="Q137" s="56"/>
      <c r="R137" s="59"/>
      <c r="S137" s="6"/>
      <c r="T137" s="23"/>
      <c r="U137" s="6"/>
      <c r="V137" s="6"/>
      <c r="W137" s="6"/>
      <c r="X137" s="6"/>
      <c r="Y137" s="24"/>
      <c r="Z137" s="159"/>
      <c r="AA137" s="6"/>
      <c r="AB137" s="24"/>
      <c r="AC137" s="159"/>
      <c r="AD137" s="6"/>
      <c r="AE137" s="6"/>
      <c r="AF137" s="23"/>
      <c r="AG137" s="6"/>
      <c r="AH137" s="6"/>
      <c r="AI137" s="101">
        <f t="shared" si="11"/>
        <v>0</v>
      </c>
    </row>
    <row r="138" spans="1:35" x14ac:dyDescent="0.2">
      <c r="A138" s="20" t="s">
        <v>22</v>
      </c>
      <c r="B138" s="23"/>
      <c r="C138" s="23"/>
      <c r="D138" s="23"/>
      <c r="E138" s="214"/>
      <c r="F138" s="23"/>
      <c r="G138" s="6"/>
      <c r="H138" s="6">
        <v>0</v>
      </c>
      <c r="I138" s="6"/>
      <c r="J138" s="59"/>
      <c r="K138" s="23"/>
      <c r="L138" s="6">
        <v>0</v>
      </c>
      <c r="M138" s="6"/>
      <c r="N138" s="24"/>
      <c r="O138" s="56"/>
      <c r="P138" s="6"/>
      <c r="Q138" s="56"/>
      <c r="R138" s="59"/>
      <c r="S138" s="6"/>
      <c r="T138" s="23"/>
      <c r="U138" s="6"/>
      <c r="V138" s="6"/>
      <c r="W138" s="6"/>
      <c r="X138" s="6"/>
      <c r="Y138" s="24"/>
      <c r="Z138" s="159"/>
      <c r="AA138" s="6"/>
      <c r="AB138" s="24"/>
      <c r="AC138" s="159"/>
      <c r="AD138" s="6"/>
      <c r="AE138" s="6"/>
      <c r="AF138" s="23"/>
      <c r="AG138" s="6"/>
      <c r="AH138" s="6"/>
      <c r="AI138" s="101">
        <f t="shared" si="11"/>
        <v>0</v>
      </c>
    </row>
    <row r="139" spans="1:35" ht="25.5" x14ac:dyDescent="0.2">
      <c r="A139" s="18" t="s">
        <v>236</v>
      </c>
      <c r="B139" s="31"/>
      <c r="C139" s="31"/>
      <c r="D139" s="31"/>
      <c r="E139" s="216"/>
      <c r="F139" s="31">
        <v>0</v>
      </c>
      <c r="G139" s="6"/>
      <c r="H139" s="6">
        <v>21700</v>
      </c>
      <c r="I139" s="6"/>
      <c r="J139" s="59"/>
      <c r="K139" s="47"/>
      <c r="L139" s="6"/>
      <c r="M139" s="6"/>
      <c r="N139" s="24"/>
      <c r="O139" s="56"/>
      <c r="P139" s="6"/>
      <c r="Q139" s="56"/>
      <c r="R139" s="59"/>
      <c r="S139" s="6"/>
      <c r="T139" s="23"/>
      <c r="U139" s="6"/>
      <c r="V139" s="6"/>
      <c r="W139" s="6"/>
      <c r="X139" s="6"/>
      <c r="Y139" s="24"/>
      <c r="Z139" s="159"/>
      <c r="AA139" s="6"/>
      <c r="AB139" s="24"/>
      <c r="AC139" s="159"/>
      <c r="AD139" s="6"/>
      <c r="AE139" s="6"/>
      <c r="AF139" s="23"/>
      <c r="AG139" s="6"/>
      <c r="AH139" s="6"/>
      <c r="AI139" s="101">
        <f t="shared" si="11"/>
        <v>0</v>
      </c>
    </row>
    <row r="140" spans="1:35" ht="25.5" x14ac:dyDescent="0.2">
      <c r="A140" s="18" t="s">
        <v>244</v>
      </c>
      <c r="B140" s="31"/>
      <c r="C140" s="31"/>
      <c r="D140" s="31"/>
      <c r="E140" s="216"/>
      <c r="F140" s="31"/>
      <c r="G140" s="6"/>
      <c r="H140" s="6">
        <v>22241.64</v>
      </c>
      <c r="I140" s="6"/>
      <c r="J140" s="59"/>
      <c r="K140" s="47"/>
      <c r="L140" s="6"/>
      <c r="M140" s="6"/>
      <c r="N140" s="24"/>
      <c r="O140" s="56"/>
      <c r="P140" s="6"/>
      <c r="Q140" s="56"/>
      <c r="R140" s="59"/>
      <c r="S140" s="6"/>
      <c r="T140" s="23"/>
      <c r="U140" s="6"/>
      <c r="V140" s="6"/>
      <c r="W140" s="6"/>
      <c r="X140" s="6"/>
      <c r="Y140" s="24"/>
      <c r="Z140" s="159"/>
      <c r="AA140" s="6"/>
      <c r="AB140" s="24"/>
      <c r="AC140" s="159"/>
      <c r="AD140" s="6"/>
      <c r="AE140" s="6"/>
      <c r="AF140" s="23"/>
      <c r="AG140" s="6"/>
      <c r="AH140" s="6"/>
      <c r="AI140" s="101">
        <f t="shared" si="11"/>
        <v>0</v>
      </c>
    </row>
    <row r="141" spans="1:35" ht="25.5" x14ac:dyDescent="0.2">
      <c r="A141" s="18" t="s">
        <v>245</v>
      </c>
      <c r="B141" s="31"/>
      <c r="C141" s="31"/>
      <c r="D141" s="31"/>
      <c r="E141" s="216"/>
      <c r="F141" s="31"/>
      <c r="G141" s="6"/>
      <c r="H141" s="6">
        <v>20898.27</v>
      </c>
      <c r="I141" s="6"/>
      <c r="J141" s="59"/>
      <c r="K141" s="47"/>
      <c r="L141" s="6"/>
      <c r="M141" s="6"/>
      <c r="N141" s="24"/>
      <c r="O141" s="56"/>
      <c r="P141" s="6"/>
      <c r="Q141" s="56"/>
      <c r="R141" s="59"/>
      <c r="S141" s="6"/>
      <c r="T141" s="23"/>
      <c r="U141" s="6"/>
      <c r="V141" s="6"/>
      <c r="W141" s="6"/>
      <c r="X141" s="6"/>
      <c r="Y141" s="24"/>
      <c r="Z141" s="159"/>
      <c r="AA141" s="6"/>
      <c r="AB141" s="24"/>
      <c r="AC141" s="159"/>
      <c r="AD141" s="6"/>
      <c r="AE141" s="6"/>
      <c r="AF141" s="23"/>
      <c r="AG141" s="6"/>
      <c r="AH141" s="6"/>
      <c r="AI141" s="101">
        <f t="shared" si="11"/>
        <v>0</v>
      </c>
    </row>
    <row r="142" spans="1:35" ht="25.5" x14ac:dyDescent="0.2">
      <c r="A142" s="18" t="s">
        <v>246</v>
      </c>
      <c r="B142" s="31"/>
      <c r="C142" s="31"/>
      <c r="D142" s="31"/>
      <c r="E142" s="216"/>
      <c r="F142" s="31"/>
      <c r="G142" s="6"/>
      <c r="H142" s="6">
        <v>28727.64</v>
      </c>
      <c r="I142" s="6"/>
      <c r="J142" s="59"/>
      <c r="K142" s="47"/>
      <c r="L142" s="6"/>
      <c r="M142" s="6"/>
      <c r="N142" s="24"/>
      <c r="O142" s="56"/>
      <c r="P142" s="6"/>
      <c r="Q142" s="56"/>
      <c r="R142" s="59"/>
      <c r="S142" s="6"/>
      <c r="T142" s="23"/>
      <c r="U142" s="6"/>
      <c r="V142" s="6"/>
      <c r="W142" s="6"/>
      <c r="X142" s="6"/>
      <c r="Y142" s="24"/>
      <c r="Z142" s="159"/>
      <c r="AA142" s="6"/>
      <c r="AB142" s="24"/>
      <c r="AC142" s="159"/>
      <c r="AD142" s="6"/>
      <c r="AE142" s="6"/>
      <c r="AF142" s="23"/>
      <c r="AG142" s="6"/>
      <c r="AH142" s="6"/>
      <c r="AI142" s="101">
        <f t="shared" si="11"/>
        <v>0</v>
      </c>
    </row>
    <row r="143" spans="1:35" ht="25.5" x14ac:dyDescent="0.2">
      <c r="A143" s="18" t="s">
        <v>247</v>
      </c>
      <c r="B143" s="31"/>
      <c r="C143" s="31"/>
      <c r="D143" s="31"/>
      <c r="E143" s="216"/>
      <c r="F143" s="31"/>
      <c r="G143" s="6"/>
      <c r="H143" s="6">
        <v>11437.7</v>
      </c>
      <c r="I143" s="6"/>
      <c r="J143" s="59"/>
      <c r="K143" s="47"/>
      <c r="L143" s="6"/>
      <c r="M143" s="6"/>
      <c r="N143" s="24"/>
      <c r="O143" s="56"/>
      <c r="P143" s="6"/>
      <c r="Q143" s="56"/>
      <c r="R143" s="59"/>
      <c r="S143" s="6"/>
      <c r="T143" s="23"/>
      <c r="U143" s="6"/>
      <c r="V143" s="6"/>
      <c r="W143" s="6"/>
      <c r="X143" s="6"/>
      <c r="Y143" s="24"/>
      <c r="Z143" s="159"/>
      <c r="AA143" s="6"/>
      <c r="AB143" s="24"/>
      <c r="AC143" s="159"/>
      <c r="AD143" s="6"/>
      <c r="AE143" s="6"/>
      <c r="AF143" s="23"/>
      <c r="AG143" s="6"/>
      <c r="AH143" s="6"/>
      <c r="AI143" s="101">
        <f t="shared" si="11"/>
        <v>0</v>
      </c>
    </row>
    <row r="144" spans="1:35" ht="25.5" x14ac:dyDescent="0.2">
      <c r="A144" s="18" t="s">
        <v>248</v>
      </c>
      <c r="B144" s="31"/>
      <c r="C144" s="31"/>
      <c r="D144" s="31"/>
      <c r="E144" s="216"/>
      <c r="F144" s="31"/>
      <c r="G144" s="6"/>
      <c r="H144" s="6">
        <v>11567.78</v>
      </c>
      <c r="I144" s="6"/>
      <c r="J144" s="59"/>
      <c r="K144" s="47"/>
      <c r="L144" s="6"/>
      <c r="M144" s="6"/>
      <c r="N144" s="24"/>
      <c r="O144" s="56"/>
      <c r="P144" s="6"/>
      <c r="Q144" s="56"/>
      <c r="R144" s="59"/>
      <c r="S144" s="6"/>
      <c r="T144" s="23"/>
      <c r="U144" s="6"/>
      <c r="V144" s="6"/>
      <c r="W144" s="6"/>
      <c r="X144" s="6"/>
      <c r="Y144" s="24"/>
      <c r="Z144" s="159"/>
      <c r="AA144" s="6"/>
      <c r="AB144" s="24"/>
      <c r="AC144" s="159"/>
      <c r="AD144" s="6"/>
      <c r="AE144" s="6"/>
      <c r="AF144" s="23"/>
      <c r="AG144" s="6"/>
      <c r="AH144" s="6"/>
      <c r="AI144" s="101">
        <f t="shared" si="11"/>
        <v>0</v>
      </c>
    </row>
    <row r="145" spans="1:35" s="8" customFormat="1" x14ac:dyDescent="0.2">
      <c r="A145" s="17" t="s">
        <v>29</v>
      </c>
      <c r="B145" s="25">
        <f>SUM(B128:B144)</f>
        <v>0</v>
      </c>
      <c r="C145" s="25">
        <f t="shared" ref="C145:AH145" si="12">SUM(C128:C144)</f>
        <v>0</v>
      </c>
      <c r="D145" s="25">
        <f t="shared" si="12"/>
        <v>19688.03</v>
      </c>
      <c r="E145" s="25">
        <f t="shared" si="12"/>
        <v>0</v>
      </c>
      <c r="F145" s="25">
        <f t="shared" si="12"/>
        <v>0</v>
      </c>
      <c r="G145" s="25">
        <f t="shared" si="12"/>
        <v>0</v>
      </c>
      <c r="H145" s="25">
        <f t="shared" si="12"/>
        <v>127907.14</v>
      </c>
      <c r="I145" s="25">
        <f t="shared" si="12"/>
        <v>0</v>
      </c>
      <c r="J145" s="25">
        <f t="shared" si="12"/>
        <v>19688.04</v>
      </c>
      <c r="K145" s="25">
        <f t="shared" si="12"/>
        <v>0</v>
      </c>
      <c r="L145" s="25">
        <f t="shared" si="12"/>
        <v>242082</v>
      </c>
      <c r="M145" s="25">
        <f t="shared" si="12"/>
        <v>76009</v>
      </c>
      <c r="N145" s="25">
        <f t="shared" si="12"/>
        <v>17403</v>
      </c>
      <c r="O145" s="25">
        <f t="shared" si="12"/>
        <v>0</v>
      </c>
      <c r="P145" s="25">
        <f t="shared" si="12"/>
        <v>60000</v>
      </c>
      <c r="Q145" s="25">
        <f t="shared" si="12"/>
        <v>73320</v>
      </c>
      <c r="R145" s="25">
        <f t="shared" si="12"/>
        <v>67426</v>
      </c>
      <c r="S145" s="25">
        <f t="shared" si="12"/>
        <v>0</v>
      </c>
      <c r="T145" s="25">
        <f t="shared" si="12"/>
        <v>0</v>
      </c>
      <c r="U145" s="25">
        <f t="shared" si="12"/>
        <v>0</v>
      </c>
      <c r="V145" s="25">
        <f t="shared" si="12"/>
        <v>0</v>
      </c>
      <c r="W145" s="25">
        <f t="shared" si="12"/>
        <v>220500</v>
      </c>
      <c r="X145" s="25">
        <f t="shared" si="12"/>
        <v>64500</v>
      </c>
      <c r="Y145" s="25">
        <f t="shared" si="12"/>
        <v>64550</v>
      </c>
      <c r="Z145" s="25">
        <f t="shared" si="12"/>
        <v>0</v>
      </c>
      <c r="AA145" s="25">
        <f t="shared" si="12"/>
        <v>242000</v>
      </c>
      <c r="AB145" s="25">
        <f t="shared" si="12"/>
        <v>261250</v>
      </c>
      <c r="AC145" s="25">
        <f t="shared" si="12"/>
        <v>0</v>
      </c>
      <c r="AD145" s="25">
        <f t="shared" si="12"/>
        <v>81000</v>
      </c>
      <c r="AE145" s="25">
        <f t="shared" si="12"/>
        <v>164750</v>
      </c>
      <c r="AF145" s="25">
        <f t="shared" si="12"/>
        <v>0</v>
      </c>
      <c r="AG145" s="25">
        <f t="shared" si="12"/>
        <v>0</v>
      </c>
      <c r="AH145" s="25">
        <f t="shared" si="12"/>
        <v>52950</v>
      </c>
      <c r="AI145" s="101">
        <f t="shared" si="11"/>
        <v>-1.0000000009313226E-2</v>
      </c>
    </row>
    <row r="146" spans="1:35" s="37" customFormat="1" x14ac:dyDescent="0.2">
      <c r="A146" s="133" t="s">
        <v>109</v>
      </c>
      <c r="B146" s="43"/>
      <c r="C146" s="43"/>
      <c r="D146" s="43"/>
      <c r="E146" s="213"/>
      <c r="F146" s="43"/>
      <c r="G146" s="44"/>
      <c r="H146" s="45"/>
      <c r="I146" s="45"/>
      <c r="J146" s="58"/>
      <c r="K146" s="43"/>
      <c r="L146" s="45"/>
      <c r="M146" s="45"/>
      <c r="N146" s="46"/>
      <c r="O146" s="55"/>
      <c r="P146" s="45"/>
      <c r="Q146" s="55"/>
      <c r="R146" s="58"/>
      <c r="S146" s="45"/>
      <c r="T146" s="43"/>
      <c r="U146" s="45"/>
      <c r="V146" s="45"/>
      <c r="W146" s="45"/>
      <c r="X146" s="45"/>
      <c r="Y146" s="46"/>
      <c r="Z146" s="146"/>
      <c r="AA146" s="45"/>
      <c r="AB146" s="46"/>
      <c r="AC146" s="146"/>
      <c r="AD146" s="45"/>
      <c r="AE146" s="45"/>
      <c r="AF146" s="43"/>
      <c r="AG146" s="45"/>
      <c r="AH146" s="45"/>
      <c r="AI146" s="101">
        <f t="shared" si="11"/>
        <v>0</v>
      </c>
    </row>
    <row r="147" spans="1:35" s="37" customFormat="1" x14ac:dyDescent="0.2">
      <c r="A147" s="133" t="s">
        <v>110</v>
      </c>
      <c r="B147" s="43"/>
      <c r="C147" s="43"/>
      <c r="D147" s="43">
        <v>205.7</v>
      </c>
      <c r="E147" s="213"/>
      <c r="F147" s="43"/>
      <c r="G147" s="44"/>
      <c r="H147" s="45"/>
      <c r="I147" s="45">
        <v>11350</v>
      </c>
      <c r="J147" s="58">
        <v>5141.72</v>
      </c>
      <c r="K147" s="43"/>
      <c r="L147" s="45"/>
      <c r="M147" s="45">
        <v>25000</v>
      </c>
      <c r="N147" s="46">
        <v>24500</v>
      </c>
      <c r="O147" s="55"/>
      <c r="P147" s="45"/>
      <c r="Q147" s="55">
        <v>2270</v>
      </c>
      <c r="R147" s="58">
        <v>9184</v>
      </c>
      <c r="S147" s="45"/>
      <c r="T147" s="43"/>
      <c r="U147" s="45"/>
      <c r="V147" s="45"/>
      <c r="W147" s="45"/>
      <c r="X147" s="45"/>
      <c r="Y147" s="46"/>
      <c r="Z147" s="146"/>
      <c r="AA147" s="45"/>
      <c r="AB147" s="46"/>
      <c r="AC147" s="146"/>
      <c r="AD147" s="45"/>
      <c r="AE147" s="45"/>
      <c r="AF147" s="43"/>
      <c r="AG147" s="45"/>
      <c r="AH147" s="45"/>
      <c r="AI147" s="101">
        <f t="shared" si="11"/>
        <v>-2.0000000004074536E-2</v>
      </c>
    </row>
    <row r="148" spans="1:35" s="8" customFormat="1" x14ac:dyDescent="0.2">
      <c r="A148" s="17" t="s">
        <v>32</v>
      </c>
      <c r="B148" s="25">
        <f t="shared" ref="B148:U148" si="13">SUM(B146:B147)</f>
        <v>0</v>
      </c>
      <c r="C148" s="25">
        <f t="shared" si="13"/>
        <v>0</v>
      </c>
      <c r="D148" s="25">
        <f t="shared" si="13"/>
        <v>205.7</v>
      </c>
      <c r="E148" s="142">
        <f t="shared" si="13"/>
        <v>0</v>
      </c>
      <c r="F148" s="199">
        <f t="shared" si="13"/>
        <v>0</v>
      </c>
      <c r="G148" s="191">
        <f t="shared" si="13"/>
        <v>0</v>
      </c>
      <c r="H148" s="191">
        <f t="shared" si="13"/>
        <v>0</v>
      </c>
      <c r="I148" s="191">
        <f t="shared" si="13"/>
        <v>11350</v>
      </c>
      <c r="J148" s="218">
        <f t="shared" si="13"/>
        <v>5141.72</v>
      </c>
      <c r="K148" s="199">
        <f t="shared" si="13"/>
        <v>0</v>
      </c>
      <c r="L148" s="191">
        <f t="shared" si="13"/>
        <v>0</v>
      </c>
      <c r="M148" s="191">
        <f t="shared" si="13"/>
        <v>25000</v>
      </c>
      <c r="N148" s="200">
        <f t="shared" si="13"/>
        <v>24500</v>
      </c>
      <c r="O148" s="15"/>
      <c r="P148" s="191">
        <f t="shared" si="13"/>
        <v>0</v>
      </c>
      <c r="Q148" s="15">
        <f t="shared" si="13"/>
        <v>2270</v>
      </c>
      <c r="R148" s="60">
        <f t="shared" si="13"/>
        <v>9184</v>
      </c>
      <c r="S148" s="60">
        <f t="shared" si="13"/>
        <v>0</v>
      </c>
      <c r="T148" s="199"/>
      <c r="U148" s="191">
        <f t="shared" si="13"/>
        <v>0</v>
      </c>
      <c r="V148" s="191">
        <f>SUM(V146:V147)</f>
        <v>0</v>
      </c>
      <c r="W148" s="191">
        <f t="shared" ref="W148:AH148" si="14">SUM(W146:W147)</f>
        <v>0</v>
      </c>
      <c r="X148" s="191">
        <f t="shared" si="14"/>
        <v>0</v>
      </c>
      <c r="Y148" s="200">
        <f t="shared" si="14"/>
        <v>0</v>
      </c>
      <c r="Z148" s="205"/>
      <c r="AA148" s="191">
        <f t="shared" si="14"/>
        <v>0</v>
      </c>
      <c r="AB148" s="200">
        <f t="shared" si="14"/>
        <v>0</v>
      </c>
      <c r="AC148" s="15">
        <f t="shared" si="14"/>
        <v>0</v>
      </c>
      <c r="AD148" s="15">
        <f t="shared" si="14"/>
        <v>0</v>
      </c>
      <c r="AE148" s="15">
        <f t="shared" si="14"/>
        <v>0</v>
      </c>
      <c r="AF148" s="15">
        <f t="shared" si="14"/>
        <v>0</v>
      </c>
      <c r="AG148" s="15">
        <f t="shared" si="14"/>
        <v>0</v>
      </c>
      <c r="AH148" s="15">
        <f t="shared" si="14"/>
        <v>0</v>
      </c>
      <c r="AI148" s="101">
        <f t="shared" si="11"/>
        <v>-2.0000000004074536E-2</v>
      </c>
    </row>
    <row r="149" spans="1:35" s="37" customFormat="1" x14ac:dyDescent="0.2">
      <c r="A149" s="130" t="s">
        <v>98</v>
      </c>
      <c r="B149" s="43"/>
      <c r="C149" s="43"/>
      <c r="D149" s="43"/>
      <c r="E149" s="213"/>
      <c r="F149" s="43"/>
      <c r="G149" s="45"/>
      <c r="H149" s="45"/>
      <c r="I149" s="45"/>
      <c r="J149" s="58"/>
      <c r="K149" s="43"/>
      <c r="L149" s="45"/>
      <c r="M149" s="45">
        <v>0</v>
      </c>
      <c r="N149" s="46">
        <v>0</v>
      </c>
      <c r="O149" s="55"/>
      <c r="P149" s="45"/>
      <c r="Q149" s="55">
        <v>65700</v>
      </c>
      <c r="R149" s="58">
        <v>65700</v>
      </c>
      <c r="S149" s="45"/>
      <c r="T149" s="43"/>
      <c r="U149" s="45"/>
      <c r="V149" s="45"/>
      <c r="W149" s="45"/>
      <c r="X149" s="45"/>
      <c r="Y149" s="46"/>
      <c r="Z149" s="146"/>
      <c r="AA149" s="45"/>
      <c r="AB149" s="46"/>
      <c r="AC149" s="146"/>
      <c r="AD149" s="45"/>
      <c r="AE149" s="45"/>
      <c r="AF149" s="43"/>
      <c r="AG149" s="45"/>
      <c r="AH149" s="45"/>
      <c r="AI149" s="101">
        <f t="shared" si="11"/>
        <v>0</v>
      </c>
    </row>
    <row r="150" spans="1:35" s="37" customFormat="1" ht="25.5" x14ac:dyDescent="0.2">
      <c r="A150" s="130" t="s">
        <v>99</v>
      </c>
      <c r="B150" s="43"/>
      <c r="C150" s="43"/>
      <c r="D150" s="43"/>
      <c r="E150" s="213"/>
      <c r="F150" s="43"/>
      <c r="G150" s="45"/>
      <c r="H150" s="45"/>
      <c r="I150" s="45"/>
      <c r="J150" s="58"/>
      <c r="K150" s="43"/>
      <c r="L150" s="45"/>
      <c r="M150" s="45">
        <v>0</v>
      </c>
      <c r="N150" s="46"/>
      <c r="O150" s="55"/>
      <c r="P150" s="45"/>
      <c r="Q150" s="55"/>
      <c r="R150" s="58"/>
      <c r="S150" s="45"/>
      <c r="T150" s="43"/>
      <c r="U150" s="45"/>
      <c r="V150" s="45"/>
      <c r="W150" s="45"/>
      <c r="X150" s="45"/>
      <c r="Y150" s="46"/>
      <c r="Z150" s="146"/>
      <c r="AA150" s="45"/>
      <c r="AB150" s="46"/>
      <c r="AC150" s="146"/>
      <c r="AD150" s="45"/>
      <c r="AE150" s="45"/>
      <c r="AF150" s="43"/>
      <c r="AG150" s="45"/>
      <c r="AH150" s="45"/>
      <c r="AI150" s="101">
        <f t="shared" si="11"/>
        <v>0</v>
      </c>
    </row>
    <row r="151" spans="1:35" s="37" customFormat="1" x14ac:dyDescent="0.2">
      <c r="A151" s="130" t="s">
        <v>100</v>
      </c>
      <c r="B151" s="43"/>
      <c r="C151" s="43"/>
      <c r="D151" s="43"/>
      <c r="E151" s="213"/>
      <c r="F151" s="43"/>
      <c r="G151" s="45"/>
      <c r="H151" s="45"/>
      <c r="I151" s="45"/>
      <c r="J151" s="58"/>
      <c r="K151" s="43"/>
      <c r="L151" s="45"/>
      <c r="M151" s="45">
        <v>0</v>
      </c>
      <c r="N151" s="46">
        <f>20000+2000</f>
        <v>22000</v>
      </c>
      <c r="O151" s="55"/>
      <c r="P151" s="45"/>
      <c r="Q151" s="55">
        <v>84300</v>
      </c>
      <c r="R151" s="58">
        <f>64300-2000</f>
        <v>62300</v>
      </c>
      <c r="S151" s="45"/>
      <c r="T151" s="43"/>
      <c r="U151" s="45"/>
      <c r="V151" s="45"/>
      <c r="W151" s="45"/>
      <c r="X151" s="45"/>
      <c r="Y151" s="46"/>
      <c r="Z151" s="146"/>
      <c r="AA151" s="45"/>
      <c r="AB151" s="46"/>
      <c r="AC151" s="146"/>
      <c r="AD151" s="45"/>
      <c r="AE151" s="45"/>
      <c r="AF151" s="43"/>
      <c r="AG151" s="45"/>
      <c r="AH151" s="45"/>
      <c r="AI151" s="101">
        <f t="shared" si="11"/>
        <v>0</v>
      </c>
    </row>
    <row r="152" spans="1:35" x14ac:dyDescent="0.2">
      <c r="A152" s="130" t="s">
        <v>92</v>
      </c>
      <c r="B152" s="23"/>
      <c r="C152" s="23"/>
      <c r="D152" s="23"/>
      <c r="E152" s="214"/>
      <c r="F152" s="23"/>
      <c r="G152" s="6"/>
      <c r="H152" s="6"/>
      <c r="I152" s="6"/>
      <c r="J152" s="59"/>
      <c r="K152" s="23"/>
      <c r="L152" s="6"/>
      <c r="M152" s="6"/>
      <c r="N152" s="24"/>
      <c r="O152" s="56"/>
      <c r="P152" s="6"/>
      <c r="Q152" s="56">
        <v>55000</v>
      </c>
      <c r="R152" s="59"/>
      <c r="S152" s="6"/>
      <c r="T152" s="23"/>
      <c r="U152" s="6"/>
      <c r="V152" s="6"/>
      <c r="W152" s="6">
        <v>97500</v>
      </c>
      <c r="X152" s="6">
        <v>55000</v>
      </c>
      <c r="Y152" s="24"/>
      <c r="Z152" s="159"/>
      <c r="AA152" s="6"/>
      <c r="AB152" s="24">
        <v>97500</v>
      </c>
      <c r="AC152" s="159"/>
      <c r="AD152" s="6"/>
      <c r="AE152" s="6"/>
      <c r="AF152" s="23"/>
      <c r="AG152" s="6"/>
      <c r="AH152" s="6"/>
      <c r="AI152" s="101">
        <f t="shared" si="11"/>
        <v>0</v>
      </c>
    </row>
    <row r="153" spans="1:35" s="8" customFormat="1" x14ac:dyDescent="0.2">
      <c r="A153" s="17" t="s">
        <v>93</v>
      </c>
      <c r="B153" s="25">
        <f t="shared" ref="B153:S153" si="15">SUM(B149:B152)</f>
        <v>0</v>
      </c>
      <c r="C153" s="25">
        <f t="shared" si="15"/>
        <v>0</v>
      </c>
      <c r="D153" s="25">
        <f t="shared" si="15"/>
        <v>0</v>
      </c>
      <c r="E153" s="142">
        <f t="shared" si="15"/>
        <v>0</v>
      </c>
      <c r="F153" s="199">
        <f t="shared" si="15"/>
        <v>0</v>
      </c>
      <c r="G153" s="191">
        <f t="shared" si="15"/>
        <v>0</v>
      </c>
      <c r="H153" s="191">
        <f t="shared" si="15"/>
        <v>0</v>
      </c>
      <c r="I153" s="191">
        <f t="shared" si="15"/>
        <v>0</v>
      </c>
      <c r="J153" s="218">
        <f t="shared" si="15"/>
        <v>0</v>
      </c>
      <c r="K153" s="199">
        <f t="shared" si="15"/>
        <v>0</v>
      </c>
      <c r="L153" s="191">
        <f t="shared" si="15"/>
        <v>0</v>
      </c>
      <c r="M153" s="191">
        <f t="shared" si="15"/>
        <v>0</v>
      </c>
      <c r="N153" s="200">
        <f t="shared" si="15"/>
        <v>22000</v>
      </c>
      <c r="O153" s="200">
        <f t="shared" si="15"/>
        <v>0</v>
      </c>
      <c r="P153" s="191">
        <f t="shared" si="15"/>
        <v>0</v>
      </c>
      <c r="Q153" s="15">
        <f t="shared" si="15"/>
        <v>205000</v>
      </c>
      <c r="R153" s="60">
        <f t="shared" si="15"/>
        <v>128000</v>
      </c>
      <c r="S153" s="60">
        <f t="shared" si="15"/>
        <v>0</v>
      </c>
      <c r="T153" s="199"/>
      <c r="U153" s="191">
        <f>SUM(U149:U152)</f>
        <v>0</v>
      </c>
      <c r="V153" s="191">
        <f>SUM(V149:V152)</f>
        <v>0</v>
      </c>
      <c r="W153" s="191">
        <f>SUM(W149:W152)</f>
        <v>97500</v>
      </c>
      <c r="X153" s="191">
        <f>SUM(X149:X152)</f>
        <v>55000</v>
      </c>
      <c r="Y153" s="200">
        <f>SUM(Y149:Y152)</f>
        <v>0</v>
      </c>
      <c r="Z153" s="205"/>
      <c r="AA153" s="191">
        <f t="shared" ref="AA153:AH153" si="16">SUM(AA149:AA152)</f>
        <v>0</v>
      </c>
      <c r="AB153" s="200">
        <f t="shared" si="16"/>
        <v>97500</v>
      </c>
      <c r="AC153" s="15">
        <f t="shared" si="16"/>
        <v>0</v>
      </c>
      <c r="AD153" s="15">
        <f t="shared" si="16"/>
        <v>0</v>
      </c>
      <c r="AE153" s="15">
        <f t="shared" si="16"/>
        <v>0</v>
      </c>
      <c r="AF153" s="15">
        <f t="shared" si="16"/>
        <v>0</v>
      </c>
      <c r="AG153" s="15">
        <f t="shared" si="16"/>
        <v>0</v>
      </c>
      <c r="AH153" s="15">
        <f t="shared" si="16"/>
        <v>0</v>
      </c>
      <c r="AI153" s="101">
        <f t="shared" si="11"/>
        <v>0</v>
      </c>
    </row>
    <row r="154" spans="1:35" s="37" customFormat="1" x14ac:dyDescent="0.2">
      <c r="A154" s="133" t="s">
        <v>111</v>
      </c>
      <c r="B154" s="43"/>
      <c r="C154" s="43"/>
      <c r="D154" s="43"/>
      <c r="E154" s="213"/>
      <c r="F154" s="43"/>
      <c r="G154" s="44"/>
      <c r="H154" s="45"/>
      <c r="I154" s="45"/>
      <c r="J154" s="58"/>
      <c r="K154" s="43"/>
      <c r="L154" s="45">
        <v>8443</v>
      </c>
      <c r="M154" s="45">
        <v>47100</v>
      </c>
      <c r="N154" s="46"/>
      <c r="O154" s="55"/>
      <c r="P154" s="45">
        <v>27770</v>
      </c>
      <c r="Q154" s="55">
        <v>150900</v>
      </c>
      <c r="R154" s="58">
        <v>198000</v>
      </c>
      <c r="S154" s="45"/>
      <c r="T154" s="43"/>
      <c r="U154" s="45"/>
      <c r="V154" s="45"/>
      <c r="W154" s="45"/>
      <c r="X154" s="45"/>
      <c r="Y154" s="46"/>
      <c r="Z154" s="146"/>
      <c r="AA154" s="45"/>
      <c r="AB154" s="46"/>
      <c r="AC154" s="146"/>
      <c r="AD154" s="45"/>
      <c r="AE154" s="45"/>
      <c r="AF154" s="43"/>
      <c r="AG154" s="45"/>
      <c r="AH154" s="45"/>
      <c r="AI154" s="101">
        <f t="shared" si="11"/>
        <v>0</v>
      </c>
    </row>
    <row r="155" spans="1:35" s="8" customFormat="1" x14ac:dyDescent="0.2">
      <c r="A155" s="17" t="s">
        <v>112</v>
      </c>
      <c r="B155" s="1">
        <f t="shared" ref="B155:U155" si="17">SUBTOTAL(9,B154)</f>
        <v>0</v>
      </c>
      <c r="C155" s="1">
        <f t="shared" si="17"/>
        <v>0</v>
      </c>
      <c r="D155" s="1">
        <f t="shared" si="17"/>
        <v>0</v>
      </c>
      <c r="E155" s="60">
        <f t="shared" si="17"/>
        <v>0</v>
      </c>
      <c r="F155" s="199">
        <f t="shared" si="17"/>
        <v>0</v>
      </c>
      <c r="G155" s="191">
        <f t="shared" si="17"/>
        <v>0</v>
      </c>
      <c r="H155" s="191">
        <f t="shared" si="17"/>
        <v>0</v>
      </c>
      <c r="I155" s="191">
        <f t="shared" si="17"/>
        <v>0</v>
      </c>
      <c r="J155" s="218">
        <f t="shared" si="17"/>
        <v>0</v>
      </c>
      <c r="K155" s="199">
        <f t="shared" si="17"/>
        <v>0</v>
      </c>
      <c r="L155" s="191">
        <f t="shared" si="17"/>
        <v>8443</v>
      </c>
      <c r="M155" s="191">
        <f t="shared" si="17"/>
        <v>47100</v>
      </c>
      <c r="N155" s="200">
        <f t="shared" si="17"/>
        <v>0</v>
      </c>
      <c r="O155" s="200">
        <f t="shared" si="17"/>
        <v>0</v>
      </c>
      <c r="P155" s="191">
        <f t="shared" si="17"/>
        <v>27770</v>
      </c>
      <c r="Q155" s="15">
        <f>SUM(Q154)</f>
        <v>150900</v>
      </c>
      <c r="R155" s="60">
        <f t="shared" si="17"/>
        <v>198000</v>
      </c>
      <c r="S155" s="60">
        <f t="shared" si="17"/>
        <v>0</v>
      </c>
      <c r="T155" s="199"/>
      <c r="U155" s="191">
        <f t="shared" si="17"/>
        <v>0</v>
      </c>
      <c r="V155" s="191">
        <f>SUM(V154)</f>
        <v>0</v>
      </c>
      <c r="W155" s="191">
        <f t="shared" ref="W155:AH155" si="18">SUM(W154)</f>
        <v>0</v>
      </c>
      <c r="X155" s="191">
        <f t="shared" si="18"/>
        <v>0</v>
      </c>
      <c r="Y155" s="200">
        <f t="shared" si="18"/>
        <v>0</v>
      </c>
      <c r="Z155" s="205"/>
      <c r="AA155" s="191">
        <f t="shared" si="18"/>
        <v>0</v>
      </c>
      <c r="AB155" s="200">
        <f t="shared" si="18"/>
        <v>0</v>
      </c>
      <c r="AC155" s="15">
        <f t="shared" si="18"/>
        <v>0</v>
      </c>
      <c r="AD155" s="15">
        <f t="shared" si="18"/>
        <v>0</v>
      </c>
      <c r="AE155" s="15">
        <f t="shared" si="18"/>
        <v>0</v>
      </c>
      <c r="AF155" s="15">
        <f t="shared" si="18"/>
        <v>0</v>
      </c>
      <c r="AG155" s="15">
        <f t="shared" si="18"/>
        <v>0</v>
      </c>
      <c r="AH155" s="15">
        <f t="shared" si="18"/>
        <v>0</v>
      </c>
      <c r="AI155" s="101">
        <f t="shared" si="11"/>
        <v>0</v>
      </c>
    </row>
    <row r="156" spans="1:35" s="8" customFormat="1" ht="18.75" customHeight="1" thickBot="1" x14ac:dyDescent="0.25">
      <c r="A156" s="73"/>
      <c r="B156" s="74">
        <f t="shared" ref="B156:AH156" si="19">B155+B153+B148+B145+B127+B74+B56+B37</f>
        <v>0</v>
      </c>
      <c r="C156" s="74">
        <f t="shared" si="19"/>
        <v>459878.44561000005</v>
      </c>
      <c r="D156" s="74">
        <f t="shared" si="19"/>
        <v>312288.5</v>
      </c>
      <c r="E156" s="143">
        <f t="shared" si="19"/>
        <v>331976.3</v>
      </c>
      <c r="F156" s="207">
        <f t="shared" si="19"/>
        <v>169407.29</v>
      </c>
      <c r="G156" s="192">
        <f t="shared" si="19"/>
        <v>1028.5999999999999</v>
      </c>
      <c r="H156" s="192">
        <f t="shared" si="19"/>
        <v>559738.06000000006</v>
      </c>
      <c r="I156" s="192">
        <f t="shared" si="19"/>
        <v>385975.47</v>
      </c>
      <c r="J156" s="219">
        <f t="shared" si="19"/>
        <v>476166.34000000008</v>
      </c>
      <c r="K156" s="207">
        <f t="shared" si="19"/>
        <v>22574</v>
      </c>
      <c r="L156" s="192">
        <f t="shared" si="19"/>
        <v>1304964</v>
      </c>
      <c r="M156" s="192">
        <f t="shared" si="19"/>
        <v>872345</v>
      </c>
      <c r="N156" s="208">
        <f t="shared" si="19"/>
        <v>458277</v>
      </c>
      <c r="O156" s="208">
        <f t="shared" si="19"/>
        <v>99700</v>
      </c>
      <c r="P156" s="192">
        <f t="shared" si="19"/>
        <v>968867</v>
      </c>
      <c r="Q156" s="163">
        <f t="shared" si="19"/>
        <v>1291177</v>
      </c>
      <c r="R156" s="143">
        <f t="shared" si="19"/>
        <v>1226390</v>
      </c>
      <c r="S156" s="143">
        <f t="shared" si="19"/>
        <v>42000</v>
      </c>
      <c r="T156" s="207">
        <f t="shared" si="19"/>
        <v>75900</v>
      </c>
      <c r="U156" s="192">
        <f t="shared" si="19"/>
        <v>96320</v>
      </c>
      <c r="V156" s="192">
        <f t="shared" si="19"/>
        <v>0</v>
      </c>
      <c r="W156" s="192">
        <f t="shared" si="19"/>
        <v>1598215</v>
      </c>
      <c r="X156" s="192">
        <f t="shared" si="19"/>
        <v>826300</v>
      </c>
      <c r="Y156" s="208">
        <f t="shared" si="19"/>
        <v>256950</v>
      </c>
      <c r="Z156" s="201">
        <f t="shared" si="19"/>
        <v>85200</v>
      </c>
      <c r="AA156" s="201">
        <f t="shared" si="19"/>
        <v>1744505</v>
      </c>
      <c r="AB156" s="202">
        <f t="shared" si="19"/>
        <v>1846965</v>
      </c>
      <c r="AC156" s="163">
        <f t="shared" si="19"/>
        <v>0</v>
      </c>
      <c r="AD156" s="74">
        <f t="shared" si="19"/>
        <v>1164852</v>
      </c>
      <c r="AE156" s="74">
        <f t="shared" si="19"/>
        <v>1517580</v>
      </c>
      <c r="AF156" s="74">
        <f t="shared" si="19"/>
        <v>0</v>
      </c>
      <c r="AG156" s="74">
        <f t="shared" si="19"/>
        <v>0</v>
      </c>
      <c r="AH156" s="74">
        <f t="shared" si="19"/>
        <v>1011250</v>
      </c>
      <c r="AI156" s="101">
        <f t="shared" si="11"/>
        <v>2554.7756099998951</v>
      </c>
    </row>
    <row r="157" spans="1:35" s="8" customFormat="1" x14ac:dyDescent="0.2">
      <c r="A157" s="2"/>
      <c r="B157" s="29"/>
      <c r="C157" s="29"/>
      <c r="D157" s="29"/>
      <c r="E157" s="29">
        <f>C156+D156-E156</f>
        <v>440190.64561000007</v>
      </c>
      <c r="F157" s="153"/>
      <c r="G157" s="144"/>
      <c r="H157" s="144"/>
      <c r="I157" s="144"/>
      <c r="J157" s="220">
        <f>E157+I156-J156</f>
        <v>349999.7756099999</v>
      </c>
      <c r="K157" s="153"/>
      <c r="L157" s="144"/>
      <c r="M157" s="144"/>
      <c r="N157" s="154">
        <f>J157+M156-N156</f>
        <v>764067.7756099999</v>
      </c>
      <c r="O157" s="3"/>
      <c r="P157" s="144"/>
      <c r="Q157" s="3"/>
      <c r="R157" s="3">
        <f>N157+Q156-R156</f>
        <v>828854.7756099999</v>
      </c>
      <c r="S157" s="144"/>
      <c r="T157" s="153"/>
      <c r="U157" s="144"/>
      <c r="V157" s="144"/>
      <c r="W157" s="144"/>
      <c r="X157" s="144">
        <f>R157+V156-X156</f>
        <v>2554.7756099998951</v>
      </c>
      <c r="Y157" s="154"/>
      <c r="Z157" s="3"/>
      <c r="AA157" s="194"/>
      <c r="AB157" s="195"/>
      <c r="AC157" s="164"/>
      <c r="AD157" s="144"/>
      <c r="AE157" s="144"/>
      <c r="AF157" s="153"/>
      <c r="AG157" s="144"/>
      <c r="AH157" s="144"/>
      <c r="AI157" s="101">
        <f t="shared" si="11"/>
        <v>-2385667.7480499996</v>
      </c>
    </row>
    <row r="158" spans="1:35" s="8" customFormat="1" ht="38.25" x14ac:dyDescent="0.2">
      <c r="A158" s="51" t="s">
        <v>137</v>
      </c>
      <c r="B158" s="66"/>
      <c r="C158" s="66"/>
      <c r="D158" s="66"/>
      <c r="E158" s="217"/>
      <c r="F158" s="66"/>
      <c r="G158" s="67"/>
      <c r="H158" s="67"/>
      <c r="I158" s="67"/>
      <c r="J158" s="68"/>
      <c r="K158" s="66"/>
      <c r="L158" s="67"/>
      <c r="M158" s="67"/>
      <c r="N158" s="69"/>
      <c r="O158" s="70"/>
      <c r="P158" s="67"/>
      <c r="Q158" s="70"/>
      <c r="R158" s="68"/>
      <c r="S158" s="67"/>
      <c r="T158" s="66"/>
      <c r="U158" s="67"/>
      <c r="V158" s="67"/>
      <c r="W158" s="67"/>
      <c r="X158" s="67"/>
      <c r="Y158" s="69"/>
      <c r="Z158" s="70"/>
      <c r="AA158" s="66"/>
      <c r="AB158" s="69"/>
      <c r="AC158" s="165"/>
      <c r="AD158" s="67"/>
      <c r="AE158" s="67"/>
      <c r="AF158" s="66"/>
      <c r="AG158" s="67"/>
      <c r="AH158" s="67"/>
      <c r="AI158" s="101">
        <f t="shared" si="11"/>
        <v>0</v>
      </c>
    </row>
    <row r="159" spans="1:35" s="8" customFormat="1" ht="38.25" x14ac:dyDescent="0.2">
      <c r="A159" s="52" t="s">
        <v>117</v>
      </c>
      <c r="B159" s="43"/>
      <c r="C159" s="43"/>
      <c r="D159" s="43">
        <v>4200.32</v>
      </c>
      <c r="E159" s="213">
        <v>0</v>
      </c>
      <c r="F159" s="43"/>
      <c r="G159" s="44"/>
      <c r="H159" s="45"/>
      <c r="I159" s="45"/>
      <c r="J159" s="58">
        <f>4246-45</f>
        <v>4201</v>
      </c>
      <c r="K159" s="43"/>
      <c r="L159" s="45"/>
      <c r="M159" s="45"/>
      <c r="N159" s="46"/>
      <c r="O159" s="55"/>
      <c r="P159" s="45"/>
      <c r="Q159" s="55"/>
      <c r="R159" s="58"/>
      <c r="S159" s="45"/>
      <c r="T159" s="43"/>
      <c r="U159" s="45"/>
      <c r="V159" s="45"/>
      <c r="W159" s="45"/>
      <c r="X159" s="45"/>
      <c r="Y159" s="46"/>
      <c r="Z159" s="55"/>
      <c r="AA159" s="43"/>
      <c r="AB159" s="46"/>
      <c r="AC159" s="146"/>
      <c r="AD159" s="45"/>
      <c r="AE159" s="45"/>
      <c r="AF159" s="43"/>
      <c r="AG159" s="45"/>
      <c r="AH159" s="45"/>
      <c r="AI159" s="101">
        <f t="shared" si="11"/>
        <v>-0.68000000000029104</v>
      </c>
    </row>
    <row r="160" spans="1:35" s="8" customFormat="1" ht="25.5" x14ac:dyDescent="0.2">
      <c r="A160" s="52" t="s">
        <v>118</v>
      </c>
      <c r="B160" s="43"/>
      <c r="C160" s="43"/>
      <c r="D160" s="43">
        <v>12485.01</v>
      </c>
      <c r="E160" s="213"/>
      <c r="F160" s="43"/>
      <c r="G160" s="44"/>
      <c r="H160" s="45"/>
      <c r="I160" s="45">
        <f>1198.5-1164.36</f>
        <v>34.1400000000001</v>
      </c>
      <c r="J160" s="58">
        <f>13684-1164.36</f>
        <v>12519.64</v>
      </c>
      <c r="K160" s="43"/>
      <c r="L160" s="45"/>
      <c r="M160" s="45"/>
      <c r="N160" s="46"/>
      <c r="O160" s="55"/>
      <c r="P160" s="45"/>
      <c r="Q160" s="55"/>
      <c r="R160" s="58"/>
      <c r="S160" s="45"/>
      <c r="T160" s="43"/>
      <c r="U160" s="45"/>
      <c r="V160" s="45"/>
      <c r="W160" s="45"/>
      <c r="X160" s="45"/>
      <c r="Y160" s="46"/>
      <c r="Z160" s="55"/>
      <c r="AA160" s="43"/>
      <c r="AB160" s="46"/>
      <c r="AC160" s="146"/>
      <c r="AD160" s="45"/>
      <c r="AE160" s="45"/>
      <c r="AF160" s="43"/>
      <c r="AG160" s="45"/>
      <c r="AH160" s="45"/>
      <c r="AI160" s="101">
        <f t="shared" si="11"/>
        <v>-0.48999999999978172</v>
      </c>
    </row>
    <row r="161" spans="1:35" s="8" customFormat="1" ht="25.5" x14ac:dyDescent="0.2">
      <c r="A161" s="52" t="s">
        <v>119</v>
      </c>
      <c r="B161" s="43"/>
      <c r="C161" s="43"/>
      <c r="D161" s="43">
        <v>731.76</v>
      </c>
      <c r="E161" s="213"/>
      <c r="F161" s="43"/>
      <c r="G161" s="44"/>
      <c r="H161" s="45"/>
      <c r="I161" s="45">
        <v>11.66</v>
      </c>
      <c r="J161" s="58"/>
      <c r="K161" s="43"/>
      <c r="L161" s="45"/>
      <c r="M161" s="45"/>
      <c r="N161" s="46">
        <v>743.42</v>
      </c>
      <c r="O161" s="55"/>
      <c r="P161" s="45"/>
      <c r="Q161" s="55"/>
      <c r="R161" s="58"/>
      <c r="S161" s="45"/>
      <c r="T161" s="43"/>
      <c r="U161" s="45"/>
      <c r="V161" s="45"/>
      <c r="W161" s="45"/>
      <c r="X161" s="45"/>
      <c r="Y161" s="46"/>
      <c r="Z161" s="55"/>
      <c r="AA161" s="43"/>
      <c r="AB161" s="46"/>
      <c r="AC161" s="146"/>
      <c r="AD161" s="45"/>
      <c r="AE161" s="45"/>
      <c r="AF161" s="43"/>
      <c r="AG161" s="45"/>
      <c r="AH161" s="45"/>
      <c r="AI161" s="101">
        <f t="shared" si="11"/>
        <v>0</v>
      </c>
    </row>
    <row r="162" spans="1:35" s="8" customFormat="1" ht="25.5" x14ac:dyDescent="0.2">
      <c r="A162" s="53" t="s">
        <v>120</v>
      </c>
      <c r="B162" s="43"/>
      <c r="C162" s="43"/>
      <c r="D162" s="43">
        <v>40663.625010000003</v>
      </c>
      <c r="E162" s="213"/>
      <c r="F162" s="43"/>
      <c r="G162" s="44"/>
      <c r="H162" s="45"/>
      <c r="I162" s="45">
        <v>5605.38</v>
      </c>
      <c r="J162" s="58">
        <v>46269</v>
      </c>
      <c r="K162" s="43"/>
      <c r="L162" s="45"/>
      <c r="M162" s="45"/>
      <c r="N162" s="46"/>
      <c r="O162" s="55"/>
      <c r="P162" s="45"/>
      <c r="Q162" s="55"/>
      <c r="R162" s="58"/>
      <c r="S162" s="45"/>
      <c r="T162" s="43"/>
      <c r="U162" s="45"/>
      <c r="V162" s="45"/>
      <c r="W162" s="45"/>
      <c r="X162" s="45"/>
      <c r="Y162" s="46"/>
      <c r="Z162" s="55"/>
      <c r="AA162" s="43"/>
      <c r="AB162" s="46"/>
      <c r="AC162" s="146"/>
      <c r="AD162" s="45"/>
      <c r="AE162" s="45"/>
      <c r="AF162" s="43"/>
      <c r="AG162" s="45"/>
      <c r="AH162" s="45"/>
      <c r="AI162" s="101">
        <f t="shared" si="11"/>
        <v>5.0100000007660128E-3</v>
      </c>
    </row>
    <row r="163" spans="1:35" s="8" customFormat="1" ht="25.5" x14ac:dyDescent="0.2">
      <c r="A163" s="53" t="s">
        <v>121</v>
      </c>
      <c r="B163" s="43"/>
      <c r="C163" s="43"/>
      <c r="D163" s="43">
        <v>0</v>
      </c>
      <c r="E163" s="213"/>
      <c r="F163" s="43"/>
      <c r="G163" s="44"/>
      <c r="H163" s="45"/>
      <c r="I163" s="45">
        <f>29294+22500</f>
        <v>51794</v>
      </c>
      <c r="J163" s="58"/>
      <c r="K163" s="43"/>
      <c r="L163" s="45"/>
      <c r="M163" s="45"/>
      <c r="N163" s="46">
        <v>51794</v>
      </c>
      <c r="O163" s="55"/>
      <c r="P163" s="45"/>
      <c r="Q163" s="55"/>
      <c r="R163" s="58"/>
      <c r="S163" s="45"/>
      <c r="T163" s="43"/>
      <c r="U163" s="45"/>
      <c r="V163" s="45"/>
      <c r="W163" s="45"/>
      <c r="X163" s="45"/>
      <c r="Y163" s="46"/>
      <c r="Z163" s="55"/>
      <c r="AA163" s="43"/>
      <c r="AB163" s="46"/>
      <c r="AC163" s="146"/>
      <c r="AD163" s="45"/>
      <c r="AE163" s="45"/>
      <c r="AF163" s="43"/>
      <c r="AG163" s="45"/>
      <c r="AH163" s="45"/>
      <c r="AI163" s="101">
        <f t="shared" si="11"/>
        <v>0</v>
      </c>
    </row>
    <row r="164" spans="1:35" s="8" customFormat="1" ht="25.5" x14ac:dyDescent="0.2">
      <c r="A164" s="53" t="s">
        <v>122</v>
      </c>
      <c r="B164" s="43"/>
      <c r="C164" s="43"/>
      <c r="D164" s="43"/>
      <c r="E164" s="213"/>
      <c r="F164" s="43"/>
      <c r="G164" s="44"/>
      <c r="H164" s="45"/>
      <c r="I164" s="45"/>
      <c r="J164" s="58"/>
      <c r="K164" s="43"/>
      <c r="L164" s="45"/>
      <c r="M164" s="45"/>
      <c r="N164" s="46"/>
      <c r="O164" s="55"/>
      <c r="P164" s="45"/>
      <c r="Q164" s="55"/>
      <c r="R164" s="58"/>
      <c r="S164" s="45"/>
      <c r="T164" s="43"/>
      <c r="U164" s="45"/>
      <c r="V164" s="45"/>
      <c r="W164" s="45"/>
      <c r="X164" s="45"/>
      <c r="Y164" s="46"/>
      <c r="Z164" s="55"/>
      <c r="AA164" s="43"/>
      <c r="AB164" s="46"/>
      <c r="AC164" s="146"/>
      <c r="AD164" s="45"/>
      <c r="AE164" s="45"/>
      <c r="AF164" s="43"/>
      <c r="AG164" s="45"/>
      <c r="AH164" s="45"/>
      <c r="AI164" s="101">
        <f t="shared" si="11"/>
        <v>0</v>
      </c>
    </row>
    <row r="165" spans="1:35" s="8" customFormat="1" ht="25.5" x14ac:dyDescent="0.2">
      <c r="A165" s="53" t="s">
        <v>123</v>
      </c>
      <c r="B165" s="43"/>
      <c r="C165" s="43"/>
      <c r="D165" s="43"/>
      <c r="E165" s="213"/>
      <c r="F165" s="43"/>
      <c r="G165" s="44"/>
      <c r="H165" s="45"/>
      <c r="I165" s="45"/>
      <c r="J165" s="58"/>
      <c r="K165" s="43"/>
      <c r="L165" s="45"/>
      <c r="M165" s="45"/>
      <c r="N165" s="46"/>
      <c r="O165" s="55"/>
      <c r="P165" s="45"/>
      <c r="Q165" s="55"/>
      <c r="R165" s="58"/>
      <c r="S165" s="45"/>
      <c r="T165" s="43"/>
      <c r="U165" s="45"/>
      <c r="V165" s="45"/>
      <c r="W165" s="45"/>
      <c r="X165" s="45"/>
      <c r="Y165" s="46"/>
      <c r="Z165" s="55"/>
      <c r="AA165" s="43"/>
      <c r="AB165" s="46"/>
      <c r="AC165" s="146"/>
      <c r="AD165" s="45"/>
      <c r="AE165" s="45"/>
      <c r="AF165" s="43"/>
      <c r="AG165" s="45"/>
      <c r="AH165" s="45"/>
      <c r="AI165" s="101">
        <f t="shared" si="11"/>
        <v>0</v>
      </c>
    </row>
    <row r="166" spans="1:35" s="8" customFormat="1" ht="25.5" x14ac:dyDescent="0.2">
      <c r="A166" s="53" t="s">
        <v>124</v>
      </c>
      <c r="B166" s="43"/>
      <c r="C166" s="43"/>
      <c r="D166" s="43"/>
      <c r="E166" s="213"/>
      <c r="F166" s="43"/>
      <c r="G166" s="44"/>
      <c r="H166" s="45"/>
      <c r="I166" s="45"/>
      <c r="J166" s="58"/>
      <c r="K166" s="43"/>
      <c r="L166" s="45"/>
      <c r="M166" s="45"/>
      <c r="N166" s="46"/>
      <c r="O166" s="55"/>
      <c r="P166" s="45"/>
      <c r="Q166" s="55"/>
      <c r="R166" s="58"/>
      <c r="S166" s="45"/>
      <c r="T166" s="43"/>
      <c r="U166" s="45"/>
      <c r="V166" s="45"/>
      <c r="W166" s="45"/>
      <c r="X166" s="45"/>
      <c r="Y166" s="46"/>
      <c r="Z166" s="55"/>
      <c r="AA166" s="43"/>
      <c r="AB166" s="46"/>
      <c r="AC166" s="146"/>
      <c r="AD166" s="45"/>
      <c r="AE166" s="45"/>
      <c r="AF166" s="43"/>
      <c r="AG166" s="45"/>
      <c r="AH166" s="45"/>
      <c r="AI166" s="101">
        <f t="shared" si="11"/>
        <v>0</v>
      </c>
    </row>
    <row r="167" spans="1:35" s="8" customFormat="1" ht="25.5" x14ac:dyDescent="0.2">
      <c r="A167" s="53" t="s">
        <v>125</v>
      </c>
      <c r="B167" s="43"/>
      <c r="C167" s="43"/>
      <c r="D167" s="43"/>
      <c r="E167" s="213"/>
      <c r="F167" s="43"/>
      <c r="G167" s="44"/>
      <c r="H167" s="45"/>
      <c r="I167" s="45"/>
      <c r="J167" s="58"/>
      <c r="K167" s="43"/>
      <c r="L167" s="45"/>
      <c r="M167" s="45"/>
      <c r="N167" s="46"/>
      <c r="O167" s="55"/>
      <c r="P167" s="45"/>
      <c r="Q167" s="55"/>
      <c r="R167" s="58"/>
      <c r="S167" s="45"/>
      <c r="T167" s="43"/>
      <c r="U167" s="45"/>
      <c r="V167" s="45"/>
      <c r="W167" s="45"/>
      <c r="X167" s="45"/>
      <c r="Y167" s="46"/>
      <c r="Z167" s="55"/>
      <c r="AA167" s="43"/>
      <c r="AB167" s="46"/>
      <c r="AC167" s="146"/>
      <c r="AD167" s="45"/>
      <c r="AE167" s="45"/>
      <c r="AF167" s="43"/>
      <c r="AG167" s="45"/>
      <c r="AH167" s="45"/>
      <c r="AI167" s="101">
        <f t="shared" si="11"/>
        <v>0</v>
      </c>
    </row>
    <row r="168" spans="1:35" s="8" customFormat="1" ht="25.5" x14ac:dyDescent="0.2">
      <c r="A168" s="53" t="s">
        <v>126</v>
      </c>
      <c r="B168" s="43"/>
      <c r="C168" s="43"/>
      <c r="D168" s="43"/>
      <c r="E168" s="213"/>
      <c r="F168" s="43"/>
      <c r="G168" s="44"/>
      <c r="H168" s="45"/>
      <c r="I168" s="45"/>
      <c r="J168" s="58"/>
      <c r="K168" s="43"/>
      <c r="L168" s="45"/>
      <c r="M168" s="45"/>
      <c r="N168" s="46"/>
      <c r="O168" s="55"/>
      <c r="P168" s="45"/>
      <c r="Q168" s="55"/>
      <c r="R168" s="58"/>
      <c r="S168" s="45"/>
      <c r="T168" s="43"/>
      <c r="U168" s="45"/>
      <c r="V168" s="45"/>
      <c r="W168" s="45"/>
      <c r="X168" s="45"/>
      <c r="Y168" s="46"/>
      <c r="Z168" s="55"/>
      <c r="AA168" s="43"/>
      <c r="AB168" s="46"/>
      <c r="AC168" s="146"/>
      <c r="AD168" s="45"/>
      <c r="AE168" s="45"/>
      <c r="AF168" s="43"/>
      <c r="AG168" s="45"/>
      <c r="AH168" s="45"/>
      <c r="AI168" s="101">
        <f t="shared" si="11"/>
        <v>0</v>
      </c>
    </row>
    <row r="169" spans="1:35" s="8" customFormat="1" ht="38.25" x14ac:dyDescent="0.2">
      <c r="A169" s="53" t="s">
        <v>127</v>
      </c>
      <c r="B169" s="43"/>
      <c r="C169" s="43"/>
      <c r="D169" s="43"/>
      <c r="E169" s="213"/>
      <c r="F169" s="43"/>
      <c r="G169" s="44"/>
      <c r="H169" s="45"/>
      <c r="I169" s="45"/>
      <c r="J169" s="58"/>
      <c r="K169" s="43"/>
      <c r="L169" s="45"/>
      <c r="M169" s="45"/>
      <c r="N169" s="46"/>
      <c r="O169" s="55"/>
      <c r="P169" s="45"/>
      <c r="Q169" s="55"/>
      <c r="R169" s="58"/>
      <c r="S169" s="45"/>
      <c r="T169" s="43"/>
      <c r="U169" s="45"/>
      <c r="V169" s="45"/>
      <c r="W169" s="45"/>
      <c r="X169" s="45"/>
      <c r="Y169" s="46"/>
      <c r="Z169" s="55"/>
      <c r="AA169" s="43"/>
      <c r="AB169" s="46"/>
      <c r="AC169" s="146"/>
      <c r="AD169" s="45"/>
      <c r="AE169" s="45"/>
      <c r="AF169" s="43"/>
      <c r="AG169" s="45"/>
      <c r="AH169" s="45"/>
      <c r="AI169" s="101">
        <f t="shared" si="11"/>
        <v>0</v>
      </c>
    </row>
    <row r="170" spans="1:35" s="8" customFormat="1" ht="25.5" x14ac:dyDescent="0.2">
      <c r="A170" s="54" t="s">
        <v>128</v>
      </c>
      <c r="B170" s="43"/>
      <c r="C170" s="43"/>
      <c r="D170" s="43"/>
      <c r="E170" s="213"/>
      <c r="F170" s="43"/>
      <c r="G170" s="44"/>
      <c r="H170" s="45"/>
      <c r="I170" s="45"/>
      <c r="J170" s="58"/>
      <c r="K170" s="43"/>
      <c r="L170" s="45"/>
      <c r="M170" s="45"/>
      <c r="N170" s="46"/>
      <c r="O170" s="55"/>
      <c r="P170" s="45"/>
      <c r="Q170" s="55"/>
      <c r="R170" s="58"/>
      <c r="S170" s="45"/>
      <c r="T170" s="43"/>
      <c r="U170" s="45"/>
      <c r="V170" s="45"/>
      <c r="W170" s="45"/>
      <c r="X170" s="45"/>
      <c r="Y170" s="46"/>
      <c r="Z170" s="55"/>
      <c r="AA170" s="43"/>
      <c r="AB170" s="46"/>
      <c r="AC170" s="146"/>
      <c r="AD170" s="45"/>
      <c r="AE170" s="45"/>
      <c r="AF170" s="43"/>
      <c r="AG170" s="45"/>
      <c r="AH170" s="45"/>
      <c r="AI170" s="101">
        <f t="shared" si="11"/>
        <v>0</v>
      </c>
    </row>
    <row r="171" spans="1:35" s="8" customFormat="1" x14ac:dyDescent="0.2">
      <c r="A171" s="50" t="s">
        <v>129</v>
      </c>
      <c r="B171" s="43"/>
      <c r="C171" s="43"/>
      <c r="D171" s="43">
        <v>0</v>
      </c>
      <c r="E171" s="213"/>
      <c r="F171" s="43"/>
      <c r="G171" s="44"/>
      <c r="H171" s="45"/>
      <c r="I171" s="45"/>
      <c r="J171" s="58"/>
      <c r="K171" s="43"/>
      <c r="L171" s="45"/>
      <c r="M171" s="45"/>
      <c r="N171" s="46"/>
      <c r="O171" s="55"/>
      <c r="P171" s="45"/>
      <c r="Q171" s="55"/>
      <c r="R171" s="58"/>
      <c r="S171" s="45"/>
      <c r="T171" s="43"/>
      <c r="U171" s="45"/>
      <c r="V171" s="45"/>
      <c r="W171" s="45"/>
      <c r="X171" s="45"/>
      <c r="Y171" s="46"/>
      <c r="Z171" s="55"/>
      <c r="AA171" s="43"/>
      <c r="AB171" s="46"/>
      <c r="AC171" s="146"/>
      <c r="AD171" s="45"/>
      <c r="AE171" s="45"/>
      <c r="AF171" s="43"/>
      <c r="AG171" s="45"/>
      <c r="AH171" s="45"/>
      <c r="AI171" s="101">
        <f t="shared" si="11"/>
        <v>0</v>
      </c>
    </row>
    <row r="172" spans="1:35" s="8" customFormat="1" x14ac:dyDescent="0.2">
      <c r="A172" s="50" t="s">
        <v>130</v>
      </c>
      <c r="B172" s="43"/>
      <c r="C172" s="43"/>
      <c r="D172" s="43">
        <v>24827.701499999999</v>
      </c>
      <c r="E172" s="213">
        <v>24827.701499999999</v>
      </c>
      <c r="F172" s="43"/>
      <c r="G172" s="44"/>
      <c r="H172" s="45"/>
      <c r="I172" s="45"/>
      <c r="J172" s="58"/>
      <c r="K172" s="43"/>
      <c r="L172" s="45"/>
      <c r="M172" s="45"/>
      <c r="N172" s="46"/>
      <c r="O172" s="55"/>
      <c r="P172" s="45"/>
      <c r="Q172" s="55"/>
      <c r="R172" s="58"/>
      <c r="S172" s="45"/>
      <c r="T172" s="43"/>
      <c r="U172" s="45"/>
      <c r="V172" s="45"/>
      <c r="W172" s="45"/>
      <c r="X172" s="45"/>
      <c r="Y172" s="46"/>
      <c r="Z172" s="55"/>
      <c r="AA172" s="43"/>
      <c r="AB172" s="46"/>
      <c r="AC172" s="146"/>
      <c r="AD172" s="45"/>
      <c r="AE172" s="45"/>
      <c r="AF172" s="43"/>
      <c r="AG172" s="45"/>
      <c r="AH172" s="45"/>
      <c r="AI172" s="101">
        <f t="shared" si="11"/>
        <v>0</v>
      </c>
    </row>
    <row r="173" spans="1:35" s="8" customFormat="1" x14ac:dyDescent="0.2">
      <c r="A173" s="50" t="s">
        <v>131</v>
      </c>
      <c r="B173" s="43"/>
      <c r="C173" s="43"/>
      <c r="D173" s="43">
        <v>27000</v>
      </c>
      <c r="E173" s="213"/>
      <c r="F173" s="43"/>
      <c r="G173" s="44"/>
      <c r="H173" s="45"/>
      <c r="I173" s="45"/>
      <c r="J173" s="58">
        <v>27000</v>
      </c>
      <c r="K173" s="43"/>
      <c r="L173" s="45"/>
      <c r="M173" s="45"/>
      <c r="N173" s="46"/>
      <c r="O173" s="55"/>
      <c r="P173" s="45"/>
      <c r="Q173" s="55"/>
      <c r="R173" s="58"/>
      <c r="S173" s="45"/>
      <c r="T173" s="43"/>
      <c r="U173" s="45"/>
      <c r="V173" s="45"/>
      <c r="W173" s="45"/>
      <c r="X173" s="45"/>
      <c r="Y173" s="46"/>
      <c r="Z173" s="55"/>
      <c r="AA173" s="43"/>
      <c r="AB173" s="46"/>
      <c r="AC173" s="146"/>
      <c r="AD173" s="45"/>
      <c r="AE173" s="45"/>
      <c r="AF173" s="43"/>
      <c r="AG173" s="45"/>
      <c r="AH173" s="45"/>
      <c r="AI173" s="101">
        <f t="shared" si="11"/>
        <v>0</v>
      </c>
    </row>
    <row r="174" spans="1:35" s="8" customFormat="1" x14ac:dyDescent="0.2">
      <c r="A174" s="50" t="s">
        <v>132</v>
      </c>
      <c r="B174" s="43"/>
      <c r="C174" s="43">
        <v>24350.584500000001</v>
      </c>
      <c r="D174" s="43">
        <v>0</v>
      </c>
      <c r="E174" s="213">
        <v>24350.584500000001</v>
      </c>
      <c r="F174" s="43"/>
      <c r="G174" s="44"/>
      <c r="H174" s="45"/>
      <c r="I174" s="45"/>
      <c r="J174" s="58"/>
      <c r="K174" s="43"/>
      <c r="L174" s="45"/>
      <c r="M174" s="45"/>
      <c r="N174" s="46"/>
      <c r="O174" s="55"/>
      <c r="P174" s="45"/>
      <c r="Q174" s="55"/>
      <c r="R174" s="58"/>
      <c r="S174" s="45"/>
      <c r="T174" s="43"/>
      <c r="U174" s="45"/>
      <c r="V174" s="45"/>
      <c r="W174" s="45"/>
      <c r="X174" s="45"/>
      <c r="Y174" s="46"/>
      <c r="Z174" s="55"/>
      <c r="AA174" s="43"/>
      <c r="AB174" s="46"/>
      <c r="AC174" s="146"/>
      <c r="AD174" s="45"/>
      <c r="AE174" s="45"/>
      <c r="AF174" s="43"/>
      <c r="AG174" s="45"/>
      <c r="AH174" s="45"/>
      <c r="AI174" s="101">
        <f t="shared" si="11"/>
        <v>0</v>
      </c>
    </row>
    <row r="175" spans="1:35" s="8" customFormat="1" x14ac:dyDescent="0.2">
      <c r="A175" s="50" t="s">
        <v>133</v>
      </c>
      <c r="B175" s="43"/>
      <c r="C175" s="43"/>
      <c r="D175" s="43">
        <v>10219.720499999999</v>
      </c>
      <c r="E175" s="213"/>
      <c r="F175" s="43"/>
      <c r="G175" s="44"/>
      <c r="H175" s="45"/>
      <c r="I175" s="45"/>
      <c r="J175" s="58">
        <f>10351-131.17</f>
        <v>10219.83</v>
      </c>
      <c r="K175" s="43"/>
      <c r="L175" s="45"/>
      <c r="M175" s="45"/>
      <c r="N175" s="46"/>
      <c r="O175" s="55"/>
      <c r="P175" s="45"/>
      <c r="Q175" s="55"/>
      <c r="R175" s="58"/>
      <c r="S175" s="45"/>
      <c r="T175" s="43"/>
      <c r="U175" s="45"/>
      <c r="V175" s="45"/>
      <c r="W175" s="45"/>
      <c r="X175" s="45"/>
      <c r="Y175" s="46"/>
      <c r="Z175" s="55"/>
      <c r="AA175" s="43"/>
      <c r="AB175" s="46"/>
      <c r="AC175" s="146"/>
      <c r="AD175" s="45"/>
      <c r="AE175" s="45"/>
      <c r="AF175" s="43"/>
      <c r="AG175" s="45"/>
      <c r="AH175" s="45"/>
      <c r="AI175" s="101">
        <f t="shared" si="11"/>
        <v>-0.10950000000048021</v>
      </c>
    </row>
    <row r="176" spans="1:35" s="8" customFormat="1" x14ac:dyDescent="0.2">
      <c r="A176" s="50" t="s">
        <v>134</v>
      </c>
      <c r="B176" s="43"/>
      <c r="C176" s="43"/>
      <c r="D176" s="43">
        <v>0</v>
      </c>
      <c r="E176" s="213"/>
      <c r="F176" s="43"/>
      <c r="G176" s="44"/>
      <c r="H176" s="45"/>
      <c r="I176" s="45">
        <v>20149.77</v>
      </c>
      <c r="J176" s="58">
        <f>20169-18.76</f>
        <v>20150.240000000002</v>
      </c>
      <c r="K176" s="43"/>
      <c r="L176" s="45"/>
      <c r="M176" s="45"/>
      <c r="N176" s="46"/>
      <c r="O176" s="55"/>
      <c r="P176" s="45"/>
      <c r="Q176" s="55"/>
      <c r="R176" s="58"/>
      <c r="S176" s="45"/>
      <c r="T176" s="43"/>
      <c r="U176" s="45"/>
      <c r="V176" s="45"/>
      <c r="W176" s="45"/>
      <c r="X176" s="45"/>
      <c r="Y176" s="46"/>
      <c r="Z176" s="55"/>
      <c r="AA176" s="43"/>
      <c r="AB176" s="46"/>
      <c r="AC176" s="146"/>
      <c r="AD176" s="45"/>
      <c r="AE176" s="45"/>
      <c r="AF176" s="43"/>
      <c r="AG176" s="45"/>
      <c r="AH176" s="45"/>
      <c r="AI176" s="101">
        <f t="shared" si="11"/>
        <v>-0.47000000000116415</v>
      </c>
    </row>
    <row r="177" spans="1:35" s="8" customFormat="1" ht="38.25" x14ac:dyDescent="0.2">
      <c r="A177" s="54" t="s">
        <v>135</v>
      </c>
      <c r="B177" s="43"/>
      <c r="C177" s="43"/>
      <c r="D177" s="43"/>
      <c r="E177" s="213"/>
      <c r="F177" s="43"/>
      <c r="G177" s="44"/>
      <c r="H177" s="45"/>
      <c r="I177" s="45"/>
      <c r="J177" s="58"/>
      <c r="K177" s="43"/>
      <c r="L177" s="45"/>
      <c r="M177" s="45"/>
      <c r="N177" s="46"/>
      <c r="O177" s="55"/>
      <c r="P177" s="45"/>
      <c r="Q177" s="55"/>
      <c r="R177" s="58"/>
      <c r="S177" s="45"/>
      <c r="T177" s="43"/>
      <c r="U177" s="45"/>
      <c r="V177" s="45"/>
      <c r="W177" s="45"/>
      <c r="X177" s="45"/>
      <c r="Y177" s="46"/>
      <c r="Z177" s="55"/>
      <c r="AA177" s="43"/>
      <c r="AB177" s="46"/>
      <c r="AC177" s="146"/>
      <c r="AD177" s="45"/>
      <c r="AE177" s="45"/>
      <c r="AF177" s="43"/>
      <c r="AG177" s="45"/>
      <c r="AH177" s="45"/>
      <c r="AI177" s="101">
        <f t="shared" si="11"/>
        <v>0</v>
      </c>
    </row>
    <row r="178" spans="1:35" s="8" customFormat="1" x14ac:dyDescent="0.2">
      <c r="A178" s="50" t="s">
        <v>130</v>
      </c>
      <c r="B178" s="43"/>
      <c r="C178" s="43"/>
      <c r="D178" s="43">
        <v>2471.8014000000003</v>
      </c>
      <c r="E178" s="213"/>
      <c r="F178" s="43"/>
      <c r="G178" s="44"/>
      <c r="H178" s="45"/>
      <c r="I178" s="45">
        <v>0</v>
      </c>
      <c r="J178" s="58">
        <v>2471.8013999999998</v>
      </c>
      <c r="K178" s="43"/>
      <c r="L178" s="45"/>
      <c r="M178" s="45"/>
      <c r="N178" s="46"/>
      <c r="O178" s="55"/>
      <c r="P178" s="45"/>
      <c r="Q178" s="55"/>
      <c r="R178" s="58"/>
      <c r="S178" s="45"/>
      <c r="T178" s="43"/>
      <c r="U178" s="45"/>
      <c r="V178" s="45"/>
      <c r="W178" s="45"/>
      <c r="X178" s="45"/>
      <c r="Y178" s="46"/>
      <c r="Z178" s="55"/>
      <c r="AA178" s="43"/>
      <c r="AB178" s="46"/>
      <c r="AC178" s="146"/>
      <c r="AD178" s="45"/>
      <c r="AE178" s="45"/>
      <c r="AF178" s="43"/>
      <c r="AG178" s="45"/>
      <c r="AH178" s="45"/>
      <c r="AI178" s="101">
        <f t="shared" si="11"/>
        <v>4.5474735088646412E-13</v>
      </c>
    </row>
    <row r="179" spans="1:35" s="8" customFormat="1" x14ac:dyDescent="0.2">
      <c r="A179" s="50" t="s">
        <v>131</v>
      </c>
      <c r="B179" s="43"/>
      <c r="C179" s="43"/>
      <c r="D179" s="43">
        <v>5671.7503100000004</v>
      </c>
      <c r="E179" s="213"/>
      <c r="F179" s="43"/>
      <c r="G179" s="44"/>
      <c r="H179" s="45"/>
      <c r="I179" s="45">
        <v>0</v>
      </c>
      <c r="J179" s="58">
        <v>5671.7503100000004</v>
      </c>
      <c r="K179" s="43"/>
      <c r="L179" s="45"/>
      <c r="M179" s="45"/>
      <c r="N179" s="46"/>
      <c r="O179" s="55"/>
      <c r="P179" s="45"/>
      <c r="Q179" s="55"/>
      <c r="R179" s="58"/>
      <c r="S179" s="45"/>
      <c r="T179" s="43"/>
      <c r="U179" s="45"/>
      <c r="V179" s="45"/>
      <c r="W179" s="45"/>
      <c r="X179" s="45"/>
      <c r="Y179" s="46"/>
      <c r="Z179" s="55"/>
      <c r="AA179" s="43"/>
      <c r="AB179" s="46"/>
      <c r="AC179" s="146"/>
      <c r="AD179" s="45"/>
      <c r="AE179" s="45"/>
      <c r="AF179" s="43"/>
      <c r="AG179" s="45"/>
      <c r="AH179" s="45"/>
      <c r="AI179" s="101">
        <f t="shared" si="11"/>
        <v>0</v>
      </c>
    </row>
    <row r="180" spans="1:35" s="8" customFormat="1" x14ac:dyDescent="0.2">
      <c r="A180" s="50" t="s">
        <v>132</v>
      </c>
      <c r="B180" s="43"/>
      <c r="C180" s="43"/>
      <c r="D180" s="43">
        <v>6694.4742200000001</v>
      </c>
      <c r="E180" s="213">
        <v>1111.8689999999999</v>
      </c>
      <c r="F180" s="43"/>
      <c r="G180" s="44"/>
      <c r="H180" s="45"/>
      <c r="I180" s="45">
        <v>0</v>
      </c>
      <c r="J180" s="58">
        <v>5582.6052200000004</v>
      </c>
      <c r="K180" s="43"/>
      <c r="L180" s="45"/>
      <c r="M180" s="45"/>
      <c r="N180" s="46"/>
      <c r="O180" s="55"/>
      <c r="P180" s="45"/>
      <c r="Q180" s="55"/>
      <c r="R180" s="58"/>
      <c r="S180" s="45"/>
      <c r="T180" s="43"/>
      <c r="U180" s="45"/>
      <c r="V180" s="45"/>
      <c r="W180" s="45"/>
      <c r="X180" s="45"/>
      <c r="Y180" s="46"/>
      <c r="Z180" s="55"/>
      <c r="AA180" s="43"/>
      <c r="AB180" s="46"/>
      <c r="AC180" s="146"/>
      <c r="AD180" s="45"/>
      <c r="AE180" s="45"/>
      <c r="AF180" s="43"/>
      <c r="AG180" s="45"/>
      <c r="AH180" s="45"/>
      <c r="AI180" s="101">
        <f t="shared" si="11"/>
        <v>0</v>
      </c>
    </row>
    <row r="181" spans="1:35" s="8" customFormat="1" x14ac:dyDescent="0.2">
      <c r="A181" s="50" t="s">
        <v>133</v>
      </c>
      <c r="B181" s="43"/>
      <c r="C181" s="43"/>
      <c r="D181" s="43">
        <v>59.442999999999998</v>
      </c>
      <c r="E181" s="213"/>
      <c r="F181" s="43"/>
      <c r="G181" s="44"/>
      <c r="H181" s="45"/>
      <c r="I181" s="45">
        <v>3635.3399999999992</v>
      </c>
      <c r="J181" s="58">
        <v>3694.7749899999999</v>
      </c>
      <c r="K181" s="43"/>
      <c r="L181" s="45"/>
      <c r="M181" s="45"/>
      <c r="N181" s="46"/>
      <c r="O181" s="55"/>
      <c r="P181" s="45"/>
      <c r="Q181" s="55"/>
      <c r="R181" s="58"/>
      <c r="S181" s="45"/>
      <c r="T181" s="43"/>
      <c r="U181" s="45"/>
      <c r="V181" s="45"/>
      <c r="W181" s="45"/>
      <c r="X181" s="45"/>
      <c r="Y181" s="46"/>
      <c r="Z181" s="55"/>
      <c r="AA181" s="43"/>
      <c r="AB181" s="46"/>
      <c r="AC181" s="146"/>
      <c r="AD181" s="45"/>
      <c r="AE181" s="45"/>
      <c r="AF181" s="43"/>
      <c r="AG181" s="45"/>
      <c r="AH181" s="45"/>
      <c r="AI181" s="101">
        <f t="shared" si="11"/>
        <v>8.0099999995582039E-3</v>
      </c>
    </row>
    <row r="182" spans="1:35" s="8" customFormat="1" x14ac:dyDescent="0.2">
      <c r="A182" s="50" t="s">
        <v>134</v>
      </c>
      <c r="B182" s="43"/>
      <c r="C182" s="43"/>
      <c r="D182" s="43">
        <v>0</v>
      </c>
      <c r="E182" s="213"/>
      <c r="F182" s="43"/>
      <c r="G182" s="44"/>
      <c r="H182" s="45"/>
      <c r="I182" s="45">
        <v>5646.56</v>
      </c>
      <c r="J182" s="58">
        <v>5646.5445</v>
      </c>
      <c r="K182" s="43"/>
      <c r="L182" s="45"/>
      <c r="M182" s="45"/>
      <c r="N182" s="46"/>
      <c r="O182" s="55"/>
      <c r="P182" s="45"/>
      <c r="Q182" s="55"/>
      <c r="R182" s="58"/>
      <c r="S182" s="45"/>
      <c r="T182" s="43"/>
      <c r="U182" s="45"/>
      <c r="V182" s="45"/>
      <c r="W182" s="45"/>
      <c r="X182" s="45"/>
      <c r="Y182" s="46"/>
      <c r="Z182" s="55"/>
      <c r="AA182" s="43"/>
      <c r="AB182" s="46"/>
      <c r="AC182" s="146"/>
      <c r="AD182" s="45"/>
      <c r="AE182" s="45"/>
      <c r="AF182" s="43"/>
      <c r="AG182" s="45"/>
      <c r="AH182" s="45"/>
      <c r="AI182" s="101">
        <f t="shared" si="11"/>
        <v>1.5500000000429281E-2</v>
      </c>
    </row>
    <row r="183" spans="1:35" s="8" customFormat="1" ht="25.5" x14ac:dyDescent="0.2">
      <c r="A183" s="53" t="s">
        <v>136</v>
      </c>
      <c r="B183" s="43"/>
      <c r="C183" s="43"/>
      <c r="D183" s="43">
        <v>13583.414140000001</v>
      </c>
      <c r="E183" s="213"/>
      <c r="F183" s="43"/>
      <c r="G183" s="44"/>
      <c r="H183" s="45"/>
      <c r="I183" s="45">
        <f>3516.58-3516.58</f>
        <v>0</v>
      </c>
      <c r="J183" s="58">
        <f>17100-3516.58</f>
        <v>13583.42</v>
      </c>
      <c r="K183" s="43"/>
      <c r="L183" s="45"/>
      <c r="M183" s="45"/>
      <c r="N183" s="46"/>
      <c r="O183" s="55"/>
      <c r="P183" s="45"/>
      <c r="Q183" s="55"/>
      <c r="R183" s="58"/>
      <c r="S183" s="45"/>
      <c r="T183" s="43"/>
      <c r="U183" s="45"/>
      <c r="V183" s="45"/>
      <c r="W183" s="45"/>
      <c r="X183" s="45"/>
      <c r="Y183" s="46"/>
      <c r="Z183" s="55"/>
      <c r="AA183" s="43"/>
      <c r="AB183" s="46"/>
      <c r="AC183" s="146"/>
      <c r="AD183" s="45"/>
      <c r="AE183" s="45"/>
      <c r="AF183" s="43"/>
      <c r="AG183" s="45"/>
      <c r="AH183" s="45"/>
      <c r="AI183" s="101">
        <f t="shared" si="11"/>
        <v>-5.8599999993020901E-3</v>
      </c>
    </row>
    <row r="184" spans="1:35" s="8" customFormat="1" ht="25.5" x14ac:dyDescent="0.2">
      <c r="A184" s="53" t="s">
        <v>153</v>
      </c>
      <c r="B184" s="43"/>
      <c r="C184" s="43"/>
      <c r="D184" s="43"/>
      <c r="E184" s="213"/>
      <c r="F184" s="43"/>
      <c r="G184" s="44"/>
      <c r="H184" s="45"/>
      <c r="I184" s="45">
        <v>5053.58</v>
      </c>
      <c r="J184" s="58"/>
      <c r="K184" s="43"/>
      <c r="L184" s="45"/>
      <c r="M184" s="45"/>
      <c r="N184" s="46">
        <v>5053.5730000000003</v>
      </c>
      <c r="O184" s="55"/>
      <c r="P184" s="45"/>
      <c r="Q184" s="55"/>
      <c r="R184" s="58"/>
      <c r="S184" s="45"/>
      <c r="T184" s="43"/>
      <c r="U184" s="45"/>
      <c r="V184" s="45"/>
      <c r="W184" s="45"/>
      <c r="X184" s="45"/>
      <c r="Y184" s="46"/>
      <c r="Z184" s="55"/>
      <c r="AA184" s="43"/>
      <c r="AB184" s="46"/>
      <c r="AC184" s="146"/>
      <c r="AD184" s="45"/>
      <c r="AE184" s="45"/>
      <c r="AF184" s="43"/>
      <c r="AG184" s="45"/>
      <c r="AH184" s="45"/>
      <c r="AI184" s="101">
        <f t="shared" si="11"/>
        <v>6.9999999996070983E-3</v>
      </c>
    </row>
    <row r="185" spans="1:35" s="8" customFormat="1" ht="25.5" x14ac:dyDescent="0.2">
      <c r="A185" s="53" t="s">
        <v>154</v>
      </c>
      <c r="B185" s="43"/>
      <c r="C185" s="43"/>
      <c r="D185" s="43"/>
      <c r="E185" s="213"/>
      <c r="F185" s="43"/>
      <c r="G185" s="44"/>
      <c r="H185" s="45"/>
      <c r="I185" s="45">
        <v>5071.6099999999997</v>
      </c>
      <c r="J185" s="58"/>
      <c r="K185" s="43"/>
      <c r="L185" s="45"/>
      <c r="M185" s="45"/>
      <c r="N185" s="46">
        <v>5071.6019999999999</v>
      </c>
      <c r="O185" s="55"/>
      <c r="P185" s="45"/>
      <c r="Q185" s="55"/>
      <c r="R185" s="58"/>
      <c r="S185" s="45"/>
      <c r="T185" s="43"/>
      <c r="U185" s="45"/>
      <c r="V185" s="45"/>
      <c r="W185" s="45"/>
      <c r="X185" s="45"/>
      <c r="Y185" s="46"/>
      <c r="Z185" s="55"/>
      <c r="AA185" s="43"/>
      <c r="AB185" s="46"/>
      <c r="AC185" s="146"/>
      <c r="AD185" s="45"/>
      <c r="AE185" s="45"/>
      <c r="AF185" s="43"/>
      <c r="AG185" s="45"/>
      <c r="AH185" s="45"/>
      <c r="AI185" s="101">
        <f t="shared" si="11"/>
        <v>7.9999999998108251E-3</v>
      </c>
    </row>
    <row r="186" spans="1:35" s="8" customFormat="1" ht="47.25" customHeight="1" x14ac:dyDescent="0.2">
      <c r="A186" s="53" t="s">
        <v>198</v>
      </c>
      <c r="B186" s="43"/>
      <c r="C186" s="43"/>
      <c r="D186" s="43"/>
      <c r="E186" s="213"/>
      <c r="F186" s="43"/>
      <c r="G186" s="45"/>
      <c r="H186" s="45"/>
      <c r="I186" s="45"/>
      <c r="J186" s="58"/>
      <c r="K186" s="43"/>
      <c r="L186" s="45">
        <v>18821</v>
      </c>
      <c r="M186" s="45"/>
      <c r="N186" s="46"/>
      <c r="O186" s="55"/>
      <c r="P186" s="45"/>
      <c r="Q186" s="55"/>
      <c r="R186" s="58"/>
      <c r="S186" s="45"/>
      <c r="T186" s="43"/>
      <c r="U186" s="45"/>
      <c r="V186" s="45"/>
      <c r="W186" s="45"/>
      <c r="X186" s="45"/>
      <c r="Y186" s="46"/>
      <c r="Z186" s="55"/>
      <c r="AA186" s="43"/>
      <c r="AB186" s="46"/>
      <c r="AC186" s="146"/>
      <c r="AD186" s="45"/>
      <c r="AE186" s="45"/>
      <c r="AF186" s="43"/>
      <c r="AG186" s="45"/>
      <c r="AH186" s="45"/>
      <c r="AI186" s="101">
        <f t="shared" si="11"/>
        <v>0</v>
      </c>
    </row>
    <row r="187" spans="1:35" s="8" customFormat="1" ht="47.25" customHeight="1" x14ac:dyDescent="0.2">
      <c r="A187" s="53" t="s">
        <v>199</v>
      </c>
      <c r="B187" s="43"/>
      <c r="C187" s="43"/>
      <c r="D187" s="43"/>
      <c r="E187" s="213"/>
      <c r="F187" s="43"/>
      <c r="G187" s="45"/>
      <c r="H187" s="45"/>
      <c r="I187" s="45"/>
      <c r="J187" s="58"/>
      <c r="K187" s="43"/>
      <c r="L187" s="45">
        <v>14319</v>
      </c>
      <c r="M187" s="45"/>
      <c r="N187" s="46"/>
      <c r="O187" s="55"/>
      <c r="P187" s="45"/>
      <c r="Q187" s="55"/>
      <c r="R187" s="58"/>
      <c r="S187" s="45"/>
      <c r="T187" s="43"/>
      <c r="U187" s="45"/>
      <c r="V187" s="45"/>
      <c r="W187" s="45"/>
      <c r="X187" s="45"/>
      <c r="Y187" s="46"/>
      <c r="Z187" s="55"/>
      <c r="AA187" s="43"/>
      <c r="AB187" s="46"/>
      <c r="AC187" s="146"/>
      <c r="AD187" s="45"/>
      <c r="AE187" s="45"/>
      <c r="AF187" s="43"/>
      <c r="AG187" s="45"/>
      <c r="AH187" s="45"/>
      <c r="AI187" s="101">
        <f t="shared" si="11"/>
        <v>0</v>
      </c>
    </row>
    <row r="188" spans="1:35" s="8" customFormat="1" ht="47.25" customHeight="1" x14ac:dyDescent="0.2">
      <c r="A188" s="53" t="s">
        <v>200</v>
      </c>
      <c r="B188" s="43"/>
      <c r="C188" s="43"/>
      <c r="D188" s="43"/>
      <c r="E188" s="213"/>
      <c r="F188" s="43"/>
      <c r="G188" s="45"/>
      <c r="H188" s="45"/>
      <c r="I188" s="45"/>
      <c r="J188" s="58"/>
      <c r="K188" s="43"/>
      <c r="L188" s="45">
        <v>7079</v>
      </c>
      <c r="M188" s="45"/>
      <c r="N188" s="46"/>
      <c r="O188" s="55"/>
      <c r="P188" s="45"/>
      <c r="Q188" s="55"/>
      <c r="R188" s="58"/>
      <c r="S188" s="45"/>
      <c r="T188" s="43"/>
      <c r="U188" s="45"/>
      <c r="V188" s="45"/>
      <c r="W188" s="45"/>
      <c r="X188" s="45"/>
      <c r="Y188" s="46"/>
      <c r="Z188" s="55"/>
      <c r="AA188" s="43"/>
      <c r="AB188" s="46"/>
      <c r="AC188" s="146"/>
      <c r="AD188" s="45"/>
      <c r="AE188" s="45"/>
      <c r="AF188" s="43"/>
      <c r="AG188" s="45"/>
      <c r="AH188" s="45"/>
      <c r="AI188" s="101">
        <f t="shared" si="11"/>
        <v>0</v>
      </c>
    </row>
    <row r="189" spans="1:35" s="8" customFormat="1" ht="47.25" customHeight="1" x14ac:dyDescent="0.2">
      <c r="A189" s="53" t="s">
        <v>162</v>
      </c>
      <c r="B189" s="43"/>
      <c r="C189" s="43"/>
      <c r="D189" s="43"/>
      <c r="E189" s="213"/>
      <c r="F189" s="43"/>
      <c r="G189" s="45"/>
      <c r="H189" s="45"/>
      <c r="I189" s="45"/>
      <c r="J189" s="58"/>
      <c r="K189" s="43"/>
      <c r="L189" s="45">
        <v>2898.03</v>
      </c>
      <c r="M189" s="45">
        <v>2307.08</v>
      </c>
      <c r="N189" s="46"/>
      <c r="O189" s="55"/>
      <c r="P189" s="45"/>
      <c r="Q189" s="55"/>
      <c r="R189" s="58">
        <v>2307.08</v>
      </c>
      <c r="S189" s="45"/>
      <c r="T189" s="43"/>
      <c r="U189" s="45"/>
      <c r="V189" s="45"/>
      <c r="W189" s="45"/>
      <c r="X189" s="45"/>
      <c r="Y189" s="46"/>
      <c r="Z189" s="55"/>
      <c r="AA189" s="43"/>
      <c r="AB189" s="46"/>
      <c r="AC189" s="146"/>
      <c r="AD189" s="45"/>
      <c r="AE189" s="45"/>
      <c r="AF189" s="43"/>
      <c r="AG189" s="45"/>
      <c r="AH189" s="45"/>
      <c r="AI189" s="101">
        <f t="shared" si="11"/>
        <v>0</v>
      </c>
    </row>
    <row r="190" spans="1:35" s="8" customFormat="1" ht="42.75" customHeight="1" x14ac:dyDescent="0.2">
      <c r="A190" s="53" t="s">
        <v>163</v>
      </c>
      <c r="B190" s="43"/>
      <c r="C190" s="43"/>
      <c r="D190" s="43"/>
      <c r="E190" s="213"/>
      <c r="F190" s="43"/>
      <c r="G190" s="45"/>
      <c r="H190" s="45"/>
      <c r="I190" s="45"/>
      <c r="J190" s="58"/>
      <c r="K190" s="43"/>
      <c r="L190" s="45">
        <v>19623.91</v>
      </c>
      <c r="M190" s="45">
        <v>19490.73</v>
      </c>
      <c r="N190" s="46"/>
      <c r="O190" s="55"/>
      <c r="P190" s="45"/>
      <c r="Q190" s="55"/>
      <c r="R190" s="58">
        <v>19490.73</v>
      </c>
      <c r="S190" s="45"/>
      <c r="T190" s="43"/>
      <c r="U190" s="45"/>
      <c r="V190" s="45"/>
      <c r="W190" s="45"/>
      <c r="X190" s="45"/>
      <c r="Y190" s="46"/>
      <c r="Z190" s="55"/>
      <c r="AA190" s="43"/>
      <c r="AB190" s="46"/>
      <c r="AC190" s="146"/>
      <c r="AD190" s="45"/>
      <c r="AE190" s="45"/>
      <c r="AF190" s="43"/>
      <c r="AG190" s="45"/>
      <c r="AH190" s="45"/>
      <c r="AI190" s="101">
        <f t="shared" si="11"/>
        <v>0</v>
      </c>
    </row>
    <row r="191" spans="1:35" s="8" customFormat="1" ht="42.75" customHeight="1" x14ac:dyDescent="0.2">
      <c r="A191" s="53" t="s">
        <v>164</v>
      </c>
      <c r="B191" s="43"/>
      <c r="C191" s="43"/>
      <c r="D191" s="43"/>
      <c r="E191" s="213"/>
      <c r="F191" s="43"/>
      <c r="G191" s="45"/>
      <c r="H191" s="45"/>
      <c r="I191" s="45"/>
      <c r="J191" s="58"/>
      <c r="K191" s="43"/>
      <c r="L191" s="45">
        <v>7371.15</v>
      </c>
      <c r="M191" s="45">
        <v>3969.08</v>
      </c>
      <c r="N191" s="46"/>
      <c r="O191" s="55"/>
      <c r="P191" s="45"/>
      <c r="Q191" s="55"/>
      <c r="R191" s="58">
        <v>3969.08</v>
      </c>
      <c r="S191" s="45"/>
      <c r="T191" s="43"/>
      <c r="U191" s="45"/>
      <c r="V191" s="45"/>
      <c r="W191" s="45"/>
      <c r="X191" s="45"/>
      <c r="Y191" s="46"/>
      <c r="Z191" s="55"/>
      <c r="AA191" s="43"/>
      <c r="AB191" s="46"/>
      <c r="AC191" s="146"/>
      <c r="AD191" s="45"/>
      <c r="AE191" s="45"/>
      <c r="AF191" s="43"/>
      <c r="AG191" s="45"/>
      <c r="AH191" s="45"/>
      <c r="AI191" s="101">
        <f t="shared" si="11"/>
        <v>0</v>
      </c>
    </row>
    <row r="192" spans="1:35" s="8" customFormat="1" ht="42.75" customHeight="1" x14ac:dyDescent="0.2">
      <c r="A192" s="53" t="s">
        <v>239</v>
      </c>
      <c r="B192" s="43"/>
      <c r="C192" s="43"/>
      <c r="D192" s="43"/>
      <c r="E192" s="213"/>
      <c r="F192" s="43"/>
      <c r="G192" s="45"/>
      <c r="H192" s="45"/>
      <c r="I192" s="45">
        <v>600</v>
      </c>
      <c r="J192" s="58"/>
      <c r="K192" s="43"/>
      <c r="L192" s="45"/>
      <c r="M192" s="45">
        <v>1410</v>
      </c>
      <c r="N192" s="46"/>
      <c r="O192" s="55"/>
      <c r="P192" s="45"/>
      <c r="Q192" s="55">
        <v>174</v>
      </c>
      <c r="R192" s="58">
        <v>2183.8846899999999</v>
      </c>
      <c r="S192" s="45"/>
      <c r="T192" s="43"/>
      <c r="U192" s="45"/>
      <c r="V192" s="45"/>
      <c r="W192" s="45"/>
      <c r="X192" s="45"/>
      <c r="Y192" s="46"/>
      <c r="Z192" s="55"/>
      <c r="AA192" s="43"/>
      <c r="AB192" s="46"/>
      <c r="AC192" s="146"/>
      <c r="AD192" s="45"/>
      <c r="AE192" s="45"/>
      <c r="AF192" s="43"/>
      <c r="AG192" s="45"/>
      <c r="AH192" s="45"/>
      <c r="AI192" s="101">
        <v>0.11531000000013591</v>
      </c>
    </row>
    <row r="193" spans="1:35" s="8" customFormat="1" ht="42.75" customHeight="1" x14ac:dyDescent="0.2">
      <c r="A193" s="53" t="s">
        <v>238</v>
      </c>
      <c r="B193" s="43"/>
      <c r="C193" s="43"/>
      <c r="D193" s="43"/>
      <c r="E193" s="213"/>
      <c r="F193" s="43"/>
      <c r="G193" s="45"/>
      <c r="H193" s="45"/>
      <c r="I193" s="45">
        <v>600</v>
      </c>
      <c r="J193" s="58"/>
      <c r="K193" s="43"/>
      <c r="L193" s="45"/>
      <c r="M193" s="45">
        <v>1170</v>
      </c>
      <c r="N193" s="46"/>
      <c r="O193" s="55"/>
      <c r="P193" s="45"/>
      <c r="Q193" s="55">
        <v>138</v>
      </c>
      <c r="R193" s="58">
        <v>1907.4323199999999</v>
      </c>
      <c r="S193" s="45"/>
      <c r="T193" s="43"/>
      <c r="U193" s="45"/>
      <c r="V193" s="45"/>
      <c r="W193" s="45"/>
      <c r="X193" s="45"/>
      <c r="Y193" s="46"/>
      <c r="Z193" s="55"/>
      <c r="AA193" s="43"/>
      <c r="AB193" s="46"/>
      <c r="AC193" s="146"/>
      <c r="AD193" s="45"/>
      <c r="AE193" s="45"/>
      <c r="AF193" s="43"/>
      <c r="AG193" s="45"/>
      <c r="AH193" s="45"/>
      <c r="AI193" s="101">
        <v>0.56768000000010943</v>
      </c>
    </row>
    <row r="194" spans="1:35" s="8" customFormat="1" x14ac:dyDescent="0.2">
      <c r="A194" s="182" t="s">
        <v>138</v>
      </c>
      <c r="B194" s="183">
        <f>SUM(B158:B193)</f>
        <v>0</v>
      </c>
      <c r="C194" s="183">
        <f t="shared" ref="C194:AH194" si="20">SUM(C158:C193)</f>
        <v>24350.584500000001</v>
      </c>
      <c r="D194" s="183">
        <f t="shared" si="20"/>
        <v>148609.02007999999</v>
      </c>
      <c r="E194" s="183">
        <f t="shared" si="20"/>
        <v>50290.154999999999</v>
      </c>
      <c r="F194" s="183">
        <f t="shared" si="20"/>
        <v>0</v>
      </c>
      <c r="G194" s="183">
        <f t="shared" si="20"/>
        <v>0</v>
      </c>
      <c r="H194" s="183">
        <f t="shared" si="20"/>
        <v>0</v>
      </c>
      <c r="I194" s="183">
        <f t="shared" si="20"/>
        <v>98202.04</v>
      </c>
      <c r="J194" s="183">
        <f t="shared" si="20"/>
        <v>157010.60642000003</v>
      </c>
      <c r="K194" s="183">
        <f t="shared" si="20"/>
        <v>0</v>
      </c>
      <c r="L194" s="183">
        <f t="shared" si="20"/>
        <v>70112.09</v>
      </c>
      <c r="M194" s="183">
        <f>SUM(M158:M193)</f>
        <v>28346.89</v>
      </c>
      <c r="N194" s="183">
        <f t="shared" si="20"/>
        <v>62662.595000000001</v>
      </c>
      <c r="O194" s="183">
        <f t="shared" si="20"/>
        <v>0</v>
      </c>
      <c r="P194" s="183">
        <f t="shared" si="20"/>
        <v>0</v>
      </c>
      <c r="Q194" s="183">
        <f t="shared" si="20"/>
        <v>312</v>
      </c>
      <c r="R194" s="183">
        <f t="shared" si="20"/>
        <v>29858.207009999998</v>
      </c>
      <c r="S194" s="183">
        <f t="shared" si="20"/>
        <v>0</v>
      </c>
      <c r="T194" s="183">
        <f t="shared" si="20"/>
        <v>0</v>
      </c>
      <c r="U194" s="183">
        <f t="shared" si="20"/>
        <v>0</v>
      </c>
      <c r="V194" s="183">
        <f t="shared" si="20"/>
        <v>0</v>
      </c>
      <c r="W194" s="183">
        <f t="shared" si="20"/>
        <v>0</v>
      </c>
      <c r="X194" s="183">
        <f t="shared" si="20"/>
        <v>0</v>
      </c>
      <c r="Y194" s="183">
        <f t="shared" si="20"/>
        <v>0</v>
      </c>
      <c r="Z194" s="183">
        <f t="shared" si="20"/>
        <v>0</v>
      </c>
      <c r="AA194" s="183">
        <f t="shared" si="20"/>
        <v>0</v>
      </c>
      <c r="AB194" s="183">
        <f t="shared" si="20"/>
        <v>0</v>
      </c>
      <c r="AC194" s="183">
        <f t="shared" si="20"/>
        <v>0</v>
      </c>
      <c r="AD194" s="183">
        <f t="shared" si="20"/>
        <v>0</v>
      </c>
      <c r="AE194" s="183">
        <f t="shared" si="20"/>
        <v>0</v>
      </c>
      <c r="AF194" s="183">
        <f t="shared" si="20"/>
        <v>0</v>
      </c>
      <c r="AG194" s="183">
        <f t="shared" si="20"/>
        <v>0</v>
      </c>
      <c r="AH194" s="183">
        <f t="shared" si="20"/>
        <v>0</v>
      </c>
      <c r="AI194" s="101">
        <f t="shared" si="11"/>
        <v>-1.0288500000460772</v>
      </c>
    </row>
    <row r="195" spans="1:35" s="8" customFormat="1" x14ac:dyDescent="0.2">
      <c r="A195" s="2"/>
      <c r="B195" s="29"/>
      <c r="C195" s="29"/>
      <c r="D195" s="29"/>
      <c r="E195" s="29">
        <f>C194+D194-E194</f>
        <v>122669.44957999999</v>
      </c>
      <c r="F195" s="153"/>
      <c r="G195" s="144"/>
      <c r="H195" s="144"/>
      <c r="I195" s="144"/>
      <c r="J195" s="220">
        <f>E195+I194-J194</f>
        <v>63860.883159999968</v>
      </c>
      <c r="K195" s="153"/>
      <c r="L195" s="144"/>
      <c r="M195" s="144"/>
      <c r="N195" s="154">
        <f>J195+M194-N194</f>
        <v>29545.178159999967</v>
      </c>
      <c r="O195" s="3"/>
      <c r="P195" s="144"/>
      <c r="Q195" s="3"/>
      <c r="R195" s="3">
        <f>N195+Q194-R194</f>
        <v>-1.0288500000315253</v>
      </c>
      <c r="S195" s="144"/>
      <c r="T195" s="153"/>
      <c r="U195" s="144"/>
      <c r="V195" s="144"/>
      <c r="W195" s="144"/>
      <c r="X195" s="144"/>
      <c r="Y195" s="154"/>
      <c r="Z195" s="3"/>
      <c r="AA195" s="153"/>
      <c r="AB195" s="154"/>
      <c r="AC195" s="164"/>
      <c r="AD195" s="144"/>
      <c r="AE195" s="144"/>
      <c r="AF195" s="153"/>
      <c r="AG195" s="144"/>
      <c r="AH195" s="144"/>
      <c r="AI195" s="101">
        <f t="shared" si="11"/>
        <v>-216074.4820499999</v>
      </c>
    </row>
    <row r="196" spans="1:35" s="8" customFormat="1" ht="13.5" thickBot="1" x14ac:dyDescent="0.25">
      <c r="A196" s="13" t="s">
        <v>6</v>
      </c>
      <c r="B196" s="48">
        <v>0</v>
      </c>
      <c r="C196" s="48">
        <v>484254.09123000002</v>
      </c>
      <c r="D196" s="48">
        <f t="shared" ref="D196:AH196" si="21">SUM(D194,D155,D153,D148,D145,D127,D74,D56,D37)</f>
        <v>460897.52007999999</v>
      </c>
      <c r="E196" s="48">
        <f t="shared" si="21"/>
        <v>382266.45500000002</v>
      </c>
      <c r="F196" s="209">
        <f t="shared" si="21"/>
        <v>169407.29</v>
      </c>
      <c r="G196" s="210">
        <f t="shared" si="21"/>
        <v>1028.5999999999999</v>
      </c>
      <c r="H196" s="210">
        <f t="shared" si="21"/>
        <v>559738.06000000006</v>
      </c>
      <c r="I196" s="210">
        <f t="shared" si="21"/>
        <v>484177.51</v>
      </c>
      <c r="J196" s="221">
        <f t="shared" si="21"/>
        <v>633176.94642000005</v>
      </c>
      <c r="K196" s="209">
        <f t="shared" si="21"/>
        <v>22574</v>
      </c>
      <c r="L196" s="210">
        <f t="shared" si="21"/>
        <v>1375076.0899999999</v>
      </c>
      <c r="M196" s="210">
        <f t="shared" si="21"/>
        <v>900691.89</v>
      </c>
      <c r="N196" s="211">
        <f t="shared" si="21"/>
        <v>520939.59499999997</v>
      </c>
      <c r="O196" s="223">
        <f t="shared" si="21"/>
        <v>99700</v>
      </c>
      <c r="P196" s="193">
        <f t="shared" si="21"/>
        <v>968867</v>
      </c>
      <c r="Q196" s="166">
        <f t="shared" si="21"/>
        <v>1291489</v>
      </c>
      <c r="R196" s="48">
        <f t="shared" si="21"/>
        <v>1256248.20701</v>
      </c>
      <c r="S196" s="48">
        <f t="shared" si="21"/>
        <v>42000</v>
      </c>
      <c r="T196" s="209">
        <f t="shared" si="21"/>
        <v>75900</v>
      </c>
      <c r="U196" s="210">
        <f t="shared" si="21"/>
        <v>96320</v>
      </c>
      <c r="V196" s="210">
        <f t="shared" si="21"/>
        <v>0</v>
      </c>
      <c r="W196" s="210">
        <f t="shared" si="21"/>
        <v>1598215</v>
      </c>
      <c r="X196" s="210">
        <f t="shared" si="21"/>
        <v>826300</v>
      </c>
      <c r="Y196" s="211">
        <f t="shared" si="21"/>
        <v>256950</v>
      </c>
      <c r="Z196" s="48">
        <f t="shared" si="21"/>
        <v>85200</v>
      </c>
      <c r="AA196" s="48">
        <f t="shared" si="21"/>
        <v>1744505</v>
      </c>
      <c r="AB196" s="173">
        <f t="shared" si="21"/>
        <v>1846965</v>
      </c>
      <c r="AC196" s="166">
        <f t="shared" si="21"/>
        <v>0</v>
      </c>
      <c r="AD196" s="48">
        <f t="shared" si="21"/>
        <v>1164852</v>
      </c>
      <c r="AE196" s="48">
        <f t="shared" si="21"/>
        <v>1517580</v>
      </c>
      <c r="AF196" s="48">
        <f t="shared" si="21"/>
        <v>0</v>
      </c>
      <c r="AG196" s="48">
        <f t="shared" si="21"/>
        <v>0</v>
      </c>
      <c r="AH196" s="48">
        <f t="shared" si="21"/>
        <v>1011250</v>
      </c>
      <c r="AI196" s="101">
        <f t="shared" si="11"/>
        <v>2578.8078799999785</v>
      </c>
    </row>
    <row r="197" spans="1:35" x14ac:dyDescent="0.2">
      <c r="AA197" s="10"/>
      <c r="AB197" s="10"/>
      <c r="AC197" s="155"/>
      <c r="AD197" s="10"/>
      <c r="AE197" s="10"/>
      <c r="AF197" s="155"/>
      <c r="AG197" s="10"/>
      <c r="AH197" s="10"/>
      <c r="AI197" s="101">
        <f t="shared" ref="AI197" si="22">C197+D197+I197+M197+Q197+V197-E197-J197-N197-R197-X197</f>
        <v>0</v>
      </c>
    </row>
    <row r="198" spans="1:35" s="8" customFormat="1" x14ac:dyDescent="0.2">
      <c r="A198" s="4"/>
      <c r="B198" s="136"/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  <c r="Y198" s="136"/>
      <c r="Z198" s="136"/>
      <c r="AA198" s="136"/>
      <c r="AB198" s="136"/>
      <c r="AC198" s="136"/>
      <c r="AD198" s="136"/>
      <c r="AE198" s="136"/>
      <c r="AF198" s="136"/>
      <c r="AG198" s="136"/>
      <c r="AH198" s="136"/>
      <c r="AI198" s="101"/>
    </row>
    <row r="199" spans="1:35" s="14" customFormat="1" ht="13.5" thickBot="1" x14ac:dyDescent="0.25">
      <c r="A199" s="4"/>
      <c r="B199" s="174">
        <v>2019</v>
      </c>
      <c r="C199" s="174">
        <v>2020</v>
      </c>
      <c r="D199" s="174">
        <v>2021</v>
      </c>
      <c r="E199" s="174">
        <v>2022</v>
      </c>
      <c r="F199" s="174">
        <v>2023</v>
      </c>
      <c r="G199" s="174">
        <v>2024</v>
      </c>
      <c r="H199" s="174">
        <v>2025</v>
      </c>
      <c r="I199" s="174" t="s">
        <v>146</v>
      </c>
    </row>
    <row r="200" spans="1:35" s="14" customFormat="1" ht="13.5" thickBot="1" x14ac:dyDescent="0.25">
      <c r="A200" s="177" t="s">
        <v>33</v>
      </c>
      <c r="B200" s="114"/>
      <c r="C200" s="114"/>
      <c r="D200" s="114">
        <f>F196</f>
        <v>169407.29</v>
      </c>
      <c r="E200" s="114">
        <f>K196</f>
        <v>22574</v>
      </c>
      <c r="F200" s="114">
        <f>O196</f>
        <v>99700</v>
      </c>
      <c r="G200" s="114">
        <f>T196</f>
        <v>75900</v>
      </c>
      <c r="H200" s="114">
        <f>Z196</f>
        <v>85200</v>
      </c>
      <c r="I200" s="225">
        <f>SUM(B200:H200)</f>
        <v>452781.29000000004</v>
      </c>
    </row>
    <row r="201" spans="1:35" s="14" customFormat="1" x14ac:dyDescent="0.2">
      <c r="A201" s="224"/>
    </row>
    <row r="202" spans="1:35" s="14" customFormat="1" ht="13.5" thickBot="1" x14ac:dyDescent="0.25">
      <c r="A202" s="224"/>
      <c r="B202" s="174">
        <v>2019</v>
      </c>
      <c r="C202" s="174">
        <v>2020</v>
      </c>
      <c r="D202" s="174">
        <v>2021</v>
      </c>
      <c r="E202" s="255">
        <v>2022</v>
      </c>
      <c r="F202" s="255">
        <v>2023</v>
      </c>
      <c r="G202" s="255">
        <v>2024</v>
      </c>
      <c r="H202" s="255">
        <v>2025</v>
      </c>
      <c r="I202" s="256"/>
    </row>
    <row r="203" spans="1:35" s="14" customFormat="1" ht="16.5" customHeight="1" thickBot="1" x14ac:dyDescent="0.25">
      <c r="A203" s="177" t="s">
        <v>152</v>
      </c>
      <c r="B203" s="114"/>
      <c r="C203" s="114"/>
      <c r="D203" s="114">
        <f>H196</f>
        <v>559738.06000000006</v>
      </c>
      <c r="E203" s="257">
        <f>L196</f>
        <v>1375076.0899999999</v>
      </c>
      <c r="F203" s="257">
        <f>P196</f>
        <v>968867</v>
      </c>
      <c r="G203" s="257">
        <f>U196</f>
        <v>96320</v>
      </c>
      <c r="H203" s="258">
        <f t="shared" ref="H203:H207" si="23">SUM(B203:G203)</f>
        <v>3000001.15</v>
      </c>
      <c r="I203" s="259">
        <f>H203-3000000</f>
        <v>1.1499999999068677</v>
      </c>
    </row>
    <row r="204" spans="1:35" s="14" customFormat="1" x14ac:dyDescent="0.2">
      <c r="A204" s="4"/>
      <c r="B204" s="174"/>
      <c r="C204" s="174"/>
      <c r="D204" s="174"/>
      <c r="E204" s="260">
        <f>D203+E203</f>
        <v>1934814.15</v>
      </c>
      <c r="F204" s="260">
        <f>E204+F203</f>
        <v>2903681.15</v>
      </c>
      <c r="G204" s="260">
        <f>F204+G203</f>
        <v>3000001.15</v>
      </c>
      <c r="H204" s="260"/>
      <c r="I204" s="256"/>
    </row>
    <row r="205" spans="1:35" s="14" customFormat="1" x14ac:dyDescent="0.2">
      <c r="A205" s="4"/>
      <c r="B205" s="174"/>
      <c r="C205" s="174"/>
      <c r="D205" s="174"/>
      <c r="E205" s="185"/>
      <c r="F205" s="185"/>
      <c r="G205" s="185"/>
      <c r="H205" s="185"/>
    </row>
    <row r="206" spans="1:35" s="14" customFormat="1" ht="13.5" thickBot="1" x14ac:dyDescent="0.25">
      <c r="A206" s="175" t="s">
        <v>221</v>
      </c>
      <c r="B206" s="174">
        <v>2019</v>
      </c>
      <c r="C206" s="174">
        <v>2020</v>
      </c>
      <c r="D206" s="254">
        <v>2021</v>
      </c>
      <c r="E206" s="254">
        <v>2022</v>
      </c>
      <c r="F206" s="254">
        <v>2023</v>
      </c>
      <c r="G206" s="254">
        <v>2024</v>
      </c>
      <c r="H206" s="254" t="s">
        <v>146</v>
      </c>
    </row>
    <row r="207" spans="1:35" s="14" customFormat="1" x14ac:dyDescent="0.2">
      <c r="A207" s="78" t="s">
        <v>145</v>
      </c>
      <c r="B207" s="79">
        <f>C196</f>
        <v>484254.09123000002</v>
      </c>
      <c r="C207" s="79">
        <f>D196</f>
        <v>460897.52007999999</v>
      </c>
      <c r="D207" s="261">
        <f>G196+I196</f>
        <v>485206.11</v>
      </c>
      <c r="E207" s="261">
        <f>M196</f>
        <v>900691.89</v>
      </c>
      <c r="F207" s="261">
        <f>Q196</f>
        <v>1291489</v>
      </c>
      <c r="G207" s="261">
        <f>V196</f>
        <v>0</v>
      </c>
      <c r="H207" s="262">
        <f t="shared" si="23"/>
        <v>3622538.6113100001</v>
      </c>
    </row>
    <row r="208" spans="1:35" s="14" customFormat="1" x14ac:dyDescent="0.2">
      <c r="A208" s="81" t="s">
        <v>141</v>
      </c>
      <c r="B208" s="10"/>
      <c r="C208" s="10">
        <f>E196</f>
        <v>382266.45500000002</v>
      </c>
      <c r="D208" s="263">
        <f>J196</f>
        <v>633176.94642000005</v>
      </c>
      <c r="E208" s="263">
        <f>N196</f>
        <v>520939.59499999997</v>
      </c>
      <c r="F208" s="263">
        <f>R196</f>
        <v>1256248.20701</v>
      </c>
      <c r="G208" s="263">
        <f>X196</f>
        <v>826300</v>
      </c>
      <c r="H208" s="264">
        <f>SUM(B208:G208)</f>
        <v>3618931.2034299998</v>
      </c>
      <c r="I208" s="252"/>
      <c r="J208" s="253"/>
    </row>
    <row r="209" spans="1:14" s="14" customFormat="1" ht="13.5" thickBot="1" x14ac:dyDescent="0.25">
      <c r="A209" s="118" t="s">
        <v>150</v>
      </c>
      <c r="B209" s="84"/>
      <c r="C209" s="85">
        <f>B207+C207-C208</f>
        <v>562885.15630999999</v>
      </c>
      <c r="D209" s="265">
        <f>C209+D207-D208</f>
        <v>414914.31988999993</v>
      </c>
      <c r="E209" s="265">
        <f>D209+E207-E208</f>
        <v>794666.61489000008</v>
      </c>
      <c r="F209" s="265">
        <f t="shared" ref="F209:G209" si="24">E209+F207-F208</f>
        <v>829907.40788000007</v>
      </c>
      <c r="G209" s="266">
        <f t="shared" si="24"/>
        <v>3607.4078800000716</v>
      </c>
      <c r="H209" s="267"/>
    </row>
    <row r="210" spans="1:14" x14ac:dyDescent="0.2">
      <c r="N210" s="14">
        <v>0</v>
      </c>
    </row>
    <row r="211" spans="1:14" ht="13.5" thickBot="1" x14ac:dyDescent="0.25">
      <c r="A211" s="176" t="s">
        <v>203</v>
      </c>
      <c r="B211" s="174">
        <v>2019</v>
      </c>
      <c r="C211" s="174">
        <v>2020</v>
      </c>
      <c r="D211" s="174">
        <v>2021</v>
      </c>
      <c r="E211" s="174">
        <v>2022</v>
      </c>
      <c r="F211" s="174">
        <v>2023</v>
      </c>
      <c r="G211" s="174">
        <v>2024</v>
      </c>
      <c r="H211" s="174">
        <v>2025</v>
      </c>
      <c r="I211" s="174">
        <v>2026</v>
      </c>
      <c r="J211" s="174">
        <v>2027</v>
      </c>
    </row>
    <row r="212" spans="1:14" x14ac:dyDescent="0.2">
      <c r="A212" s="78" t="s">
        <v>215</v>
      </c>
      <c r="B212" s="79">
        <f>C200</f>
        <v>0</v>
      </c>
      <c r="C212" s="79">
        <v>0</v>
      </c>
      <c r="D212" s="79">
        <v>0</v>
      </c>
      <c r="E212" s="79">
        <v>0</v>
      </c>
      <c r="F212" s="79">
        <f>S196</f>
        <v>42000</v>
      </c>
      <c r="G212" s="79">
        <f>W196</f>
        <v>1598215</v>
      </c>
      <c r="H212" s="79">
        <f>AA196</f>
        <v>1744505</v>
      </c>
      <c r="I212" s="79">
        <f>AD196</f>
        <v>1164852</v>
      </c>
      <c r="J212" s="79">
        <f>Y200</f>
        <v>0</v>
      </c>
    </row>
    <row r="213" spans="1:14" x14ac:dyDescent="0.2">
      <c r="A213" s="81" t="s">
        <v>216</v>
      </c>
      <c r="B213" s="10"/>
      <c r="C213" s="10">
        <v>0</v>
      </c>
      <c r="D213" s="10">
        <v>0</v>
      </c>
      <c r="E213" s="10">
        <v>0</v>
      </c>
      <c r="F213" s="10">
        <v>0</v>
      </c>
      <c r="G213" s="10">
        <f>Y196</f>
        <v>256950</v>
      </c>
      <c r="H213" s="10">
        <f>AB196</f>
        <v>1846965</v>
      </c>
      <c r="I213" s="10">
        <f>AE196</f>
        <v>1517580</v>
      </c>
      <c r="J213" s="10">
        <f>AH196</f>
        <v>1011250</v>
      </c>
    </row>
    <row r="214" spans="1:14" ht="13.5" thickBot="1" x14ac:dyDescent="0.25">
      <c r="A214" s="118" t="s">
        <v>217</v>
      </c>
      <c r="B214" s="84"/>
      <c r="C214" s="85">
        <f>B212+C212-C213</f>
        <v>0</v>
      </c>
      <c r="D214" s="85">
        <f>C214+D212-D213</f>
        <v>0</v>
      </c>
      <c r="E214" s="85">
        <f>D214+E212-E213</f>
        <v>0</v>
      </c>
      <c r="F214" s="85">
        <f t="shared" ref="F214:J214" si="25">E214+F212-F213</f>
        <v>42000</v>
      </c>
      <c r="G214" s="85">
        <f t="shared" si="25"/>
        <v>1383265</v>
      </c>
      <c r="H214" s="85">
        <f t="shared" si="25"/>
        <v>1280805</v>
      </c>
      <c r="I214" s="85">
        <f t="shared" si="25"/>
        <v>928077</v>
      </c>
      <c r="J214" s="85">
        <f t="shared" si="25"/>
        <v>-83173</v>
      </c>
    </row>
  </sheetData>
  <mergeCells count="8">
    <mergeCell ref="AC1:AE1"/>
    <mergeCell ref="AF1:AH1"/>
    <mergeCell ref="A1:A2"/>
    <mergeCell ref="F1:J1"/>
    <mergeCell ref="K1:N1"/>
    <mergeCell ref="O1:R1"/>
    <mergeCell ref="T1:Y1"/>
    <mergeCell ref="Z1:AB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033B6-D280-4A71-A102-E518B910F59B}">
  <sheetPr>
    <tabColor theme="4" tint="0.59999389629810485"/>
  </sheetPr>
  <dimension ref="A1:AL220"/>
  <sheetViews>
    <sheetView workbookViewId="0">
      <selection sqref="A1:A2"/>
    </sheetView>
  </sheetViews>
  <sheetFormatPr defaultColWidth="9.140625" defaultRowHeight="12.75" x14ac:dyDescent="0.2"/>
  <cols>
    <col min="1" max="1" width="52.42578125" style="4" customWidth="1"/>
    <col min="2" max="2" width="13.7109375" style="311" bestFit="1" customWidth="1"/>
    <col min="3" max="37" width="14.7109375" style="14" customWidth="1"/>
    <col min="38" max="38" width="12.7109375" style="4" customWidth="1"/>
    <col min="39" max="16384" width="9.140625" style="4"/>
  </cols>
  <sheetData>
    <row r="1" spans="1:38" ht="24.75" customHeight="1" thickBot="1" x14ac:dyDescent="0.25">
      <c r="A1" s="384" t="s">
        <v>257</v>
      </c>
      <c r="B1" s="390" t="s">
        <v>258</v>
      </c>
      <c r="C1" s="71">
        <v>2018</v>
      </c>
      <c r="D1" s="71" t="s">
        <v>149</v>
      </c>
      <c r="E1" s="71" t="s">
        <v>147</v>
      </c>
      <c r="F1" s="71" t="s">
        <v>148</v>
      </c>
      <c r="G1" s="367" t="s">
        <v>113</v>
      </c>
      <c r="H1" s="370"/>
      <c r="I1" s="370"/>
      <c r="J1" s="370"/>
      <c r="K1" s="377"/>
      <c r="L1" s="367" t="s">
        <v>114</v>
      </c>
      <c r="M1" s="370"/>
      <c r="N1" s="370"/>
      <c r="O1" s="369"/>
      <c r="P1" s="368" t="s">
        <v>115</v>
      </c>
      <c r="Q1" s="376"/>
      <c r="R1" s="376"/>
      <c r="S1" s="376"/>
      <c r="T1" s="271"/>
      <c r="U1" s="381" t="s">
        <v>116</v>
      </c>
      <c r="V1" s="382"/>
      <c r="W1" s="382"/>
      <c r="X1" s="382"/>
      <c r="Y1" s="382"/>
      <c r="Z1" s="383"/>
      <c r="AA1" s="378" t="s">
        <v>204</v>
      </c>
      <c r="AB1" s="379"/>
      <c r="AC1" s="380"/>
      <c r="AD1" s="381" t="s">
        <v>218</v>
      </c>
      <c r="AE1" s="382"/>
      <c r="AF1" s="382"/>
      <c r="AG1" s="389"/>
      <c r="AH1" s="386" t="s">
        <v>219</v>
      </c>
      <c r="AI1" s="387"/>
      <c r="AJ1" s="387"/>
      <c r="AK1" s="388"/>
    </row>
    <row r="2" spans="1:38" ht="25.5" x14ac:dyDescent="0.2">
      <c r="A2" s="385"/>
      <c r="B2" s="391"/>
      <c r="C2" s="158"/>
      <c r="D2" s="21"/>
      <c r="E2" s="21"/>
      <c r="F2" s="212"/>
      <c r="G2" s="269" t="s">
        <v>143</v>
      </c>
      <c r="H2" s="75" t="s">
        <v>36</v>
      </c>
      <c r="I2" s="5" t="s">
        <v>250</v>
      </c>
      <c r="J2" s="270" t="s">
        <v>139</v>
      </c>
      <c r="K2" s="57" t="s">
        <v>140</v>
      </c>
      <c r="L2" s="269" t="s">
        <v>143</v>
      </c>
      <c r="M2" s="5" t="s">
        <v>152</v>
      </c>
      <c r="N2" s="5" t="s">
        <v>139</v>
      </c>
      <c r="O2" s="22" t="s">
        <v>140</v>
      </c>
      <c r="P2" s="188" t="s">
        <v>143</v>
      </c>
      <c r="Q2" s="268" t="s">
        <v>152</v>
      </c>
      <c r="R2" s="188" t="s">
        <v>139</v>
      </c>
      <c r="S2" s="57" t="s">
        <v>140</v>
      </c>
      <c r="T2" s="196" t="s">
        <v>214</v>
      </c>
      <c r="U2" s="21" t="s">
        <v>143</v>
      </c>
      <c r="V2" s="5" t="s">
        <v>152</v>
      </c>
      <c r="W2" s="5" t="s">
        <v>139</v>
      </c>
      <c r="X2" s="196" t="s">
        <v>214</v>
      </c>
      <c r="Y2" s="5" t="s">
        <v>140</v>
      </c>
      <c r="Z2" s="168" t="s">
        <v>213</v>
      </c>
      <c r="AA2" s="204" t="s">
        <v>143</v>
      </c>
      <c r="AB2" s="197" t="s">
        <v>214</v>
      </c>
      <c r="AC2" s="198" t="s">
        <v>213</v>
      </c>
      <c r="AD2" s="204" t="s">
        <v>143</v>
      </c>
      <c r="AE2" s="158" t="s">
        <v>220</v>
      </c>
      <c r="AF2" s="140" t="s">
        <v>214</v>
      </c>
      <c r="AG2" s="140" t="s">
        <v>213</v>
      </c>
      <c r="AH2" s="204" t="s">
        <v>143</v>
      </c>
      <c r="AI2" s="5" t="s">
        <v>220</v>
      </c>
      <c r="AJ2" s="196" t="s">
        <v>214</v>
      </c>
      <c r="AK2" s="140" t="s">
        <v>213</v>
      </c>
      <c r="AL2" s="4" t="s">
        <v>251</v>
      </c>
    </row>
    <row r="3" spans="1:38" s="37" customFormat="1" x14ac:dyDescent="0.2">
      <c r="A3" s="319" t="s">
        <v>297</v>
      </c>
      <c r="B3" s="288"/>
      <c r="C3" s="146"/>
      <c r="D3" s="43"/>
      <c r="E3" s="43"/>
      <c r="F3" s="213"/>
      <c r="G3" s="43"/>
      <c r="H3" s="44"/>
      <c r="I3" s="45"/>
      <c r="J3" s="45"/>
      <c r="K3" s="58"/>
      <c r="L3" s="43">
        <v>3407</v>
      </c>
      <c r="M3" s="45"/>
      <c r="N3" s="45"/>
      <c r="O3" s="46"/>
      <c r="P3" s="55">
        <v>3859</v>
      </c>
      <c r="Q3" s="45"/>
      <c r="R3" s="146"/>
      <c r="S3" s="58"/>
      <c r="T3" s="45"/>
      <c r="U3" s="43">
        <v>3807</v>
      </c>
      <c r="V3" s="45"/>
      <c r="W3" s="45"/>
      <c r="X3" s="45"/>
      <c r="Y3" s="45"/>
      <c r="Z3" s="46"/>
      <c r="AA3" s="146">
        <v>3162</v>
      </c>
      <c r="AB3" s="45"/>
      <c r="AC3" s="46"/>
      <c r="AD3" s="146"/>
      <c r="AE3" s="146"/>
      <c r="AF3" s="45"/>
      <c r="AG3" s="58"/>
      <c r="AH3" s="43"/>
      <c r="AI3" s="45"/>
      <c r="AJ3" s="45"/>
      <c r="AK3" s="45"/>
      <c r="AL3" s="101"/>
    </row>
    <row r="4" spans="1:38" s="37" customFormat="1" x14ac:dyDescent="0.2">
      <c r="A4" s="128" t="s">
        <v>95</v>
      </c>
      <c r="B4" s="288"/>
      <c r="C4" s="146"/>
      <c r="D4" s="43"/>
      <c r="E4" s="43"/>
      <c r="F4" s="213"/>
      <c r="G4" s="43"/>
      <c r="H4" s="45"/>
      <c r="I4" s="45"/>
      <c r="J4" s="45"/>
      <c r="K4" s="58"/>
      <c r="L4" s="43"/>
      <c r="M4" s="45"/>
      <c r="N4" s="45"/>
      <c r="O4" s="46"/>
      <c r="P4" s="55"/>
      <c r="Q4" s="45"/>
      <c r="R4" s="146">
        <v>37000</v>
      </c>
      <c r="S4" s="58"/>
      <c r="T4" s="45"/>
      <c r="U4" s="43"/>
      <c r="V4" s="45"/>
      <c r="W4" s="45"/>
      <c r="X4" s="45">
        <v>128000</v>
      </c>
      <c r="Y4" s="45">
        <v>37000</v>
      </c>
      <c r="Z4" s="46"/>
      <c r="AA4" s="146"/>
      <c r="AB4" s="45">
        <v>61000</v>
      </c>
      <c r="AC4" s="46">
        <v>128000</v>
      </c>
      <c r="AD4" s="146"/>
      <c r="AE4" s="146"/>
      <c r="AF4" s="45"/>
      <c r="AG4" s="58">
        <v>60500</v>
      </c>
      <c r="AH4" s="43"/>
      <c r="AI4" s="45"/>
      <c r="AJ4" s="45"/>
      <c r="AK4" s="45"/>
      <c r="AL4" s="101">
        <f t="shared" ref="AL4:AL34" si="0">D4+E4+J4+N4+R4+W4-F4-K4-O4-S4-Y4</f>
        <v>0</v>
      </c>
    </row>
    <row r="5" spans="1:38" s="8" customFormat="1" x14ac:dyDescent="0.2">
      <c r="A5" s="17" t="s">
        <v>256</v>
      </c>
      <c r="B5" s="289"/>
      <c r="C5" s="161">
        <f>SUM(C4)</f>
        <v>0</v>
      </c>
      <c r="D5" s="25">
        <f t="shared" ref="D5:F5" si="1">SUM(D4)</f>
        <v>0</v>
      </c>
      <c r="E5" s="25">
        <f t="shared" si="1"/>
        <v>0</v>
      </c>
      <c r="F5" s="25">
        <f t="shared" si="1"/>
        <v>0</v>
      </c>
      <c r="G5" s="25">
        <f>SUM(G3:G4)</f>
        <v>0</v>
      </c>
      <c r="H5" s="25">
        <f t="shared" ref="H5:AK5" si="2">SUM(H3:H4)</f>
        <v>0</v>
      </c>
      <c r="I5" s="25">
        <f t="shared" si="2"/>
        <v>0</v>
      </c>
      <c r="J5" s="25">
        <f t="shared" si="2"/>
        <v>0</v>
      </c>
      <c r="K5" s="25">
        <f t="shared" si="2"/>
        <v>0</v>
      </c>
      <c r="L5" s="25">
        <f t="shared" si="2"/>
        <v>3407</v>
      </c>
      <c r="M5" s="25">
        <f t="shared" si="2"/>
        <v>0</v>
      </c>
      <c r="N5" s="25">
        <f t="shared" si="2"/>
        <v>0</v>
      </c>
      <c r="O5" s="25">
        <f t="shared" si="2"/>
        <v>0</v>
      </c>
      <c r="P5" s="25">
        <f t="shared" si="2"/>
        <v>3859</v>
      </c>
      <c r="Q5" s="25">
        <f t="shared" si="2"/>
        <v>0</v>
      </c>
      <c r="R5" s="25">
        <f t="shared" si="2"/>
        <v>37000</v>
      </c>
      <c r="S5" s="25">
        <f t="shared" si="2"/>
        <v>0</v>
      </c>
      <c r="T5" s="25">
        <f t="shared" si="2"/>
        <v>0</v>
      </c>
      <c r="U5" s="25">
        <f t="shared" si="2"/>
        <v>3807</v>
      </c>
      <c r="V5" s="25">
        <f t="shared" si="2"/>
        <v>0</v>
      </c>
      <c r="W5" s="25">
        <f t="shared" si="2"/>
        <v>0</v>
      </c>
      <c r="X5" s="25">
        <f t="shared" si="2"/>
        <v>128000</v>
      </c>
      <c r="Y5" s="25">
        <f t="shared" si="2"/>
        <v>37000</v>
      </c>
      <c r="Z5" s="25">
        <f t="shared" si="2"/>
        <v>0</v>
      </c>
      <c r="AA5" s="25">
        <f t="shared" si="2"/>
        <v>3162</v>
      </c>
      <c r="AB5" s="25">
        <f t="shared" si="2"/>
        <v>61000</v>
      </c>
      <c r="AC5" s="25">
        <f t="shared" si="2"/>
        <v>128000</v>
      </c>
      <c r="AD5" s="25"/>
      <c r="AE5" s="25">
        <f t="shared" si="2"/>
        <v>0</v>
      </c>
      <c r="AF5" s="25">
        <f t="shared" si="2"/>
        <v>0</v>
      </c>
      <c r="AG5" s="142">
        <f t="shared" si="2"/>
        <v>60500</v>
      </c>
      <c r="AH5" s="321"/>
      <c r="AI5" s="322">
        <f t="shared" si="2"/>
        <v>0</v>
      </c>
      <c r="AJ5" s="322">
        <f t="shared" si="2"/>
        <v>0</v>
      </c>
      <c r="AK5" s="323">
        <f t="shared" si="2"/>
        <v>0</v>
      </c>
      <c r="AL5" s="101">
        <f t="shared" si="0"/>
        <v>0</v>
      </c>
    </row>
    <row r="6" spans="1:38" s="37" customFormat="1" x14ac:dyDescent="0.2">
      <c r="A6" s="280" t="s">
        <v>94</v>
      </c>
      <c r="B6" s="290" t="s">
        <v>272</v>
      </c>
      <c r="C6" s="146"/>
      <c r="D6" s="43"/>
      <c r="E6" s="43"/>
      <c r="F6" s="213"/>
      <c r="G6" s="43"/>
      <c r="H6" s="44"/>
      <c r="I6" s="45"/>
      <c r="J6" s="45">
        <v>43590</v>
      </c>
      <c r="K6" s="58"/>
      <c r="L6" s="43"/>
      <c r="M6" s="45"/>
      <c r="N6" s="45">
        <v>9800</v>
      </c>
      <c r="O6" s="46">
        <v>53390</v>
      </c>
      <c r="P6" s="55"/>
      <c r="Q6" s="45"/>
      <c r="R6" s="146"/>
      <c r="S6" s="58"/>
      <c r="T6" s="45"/>
      <c r="U6" s="43"/>
      <c r="V6" s="45"/>
      <c r="W6" s="45"/>
      <c r="X6" s="45"/>
      <c r="Y6" s="45"/>
      <c r="Z6" s="46"/>
      <c r="AA6" s="146"/>
      <c r="AB6" s="45"/>
      <c r="AC6" s="46"/>
      <c r="AD6" s="146"/>
      <c r="AE6" s="146"/>
      <c r="AF6" s="45"/>
      <c r="AG6" s="58"/>
      <c r="AH6" s="43"/>
      <c r="AI6" s="45"/>
      <c r="AJ6" s="45"/>
      <c r="AK6" s="45"/>
      <c r="AL6" s="101">
        <f t="shared" si="0"/>
        <v>0</v>
      </c>
    </row>
    <row r="7" spans="1:38" s="37" customFormat="1" x14ac:dyDescent="0.2">
      <c r="A7" s="128" t="s">
        <v>202</v>
      </c>
      <c r="B7" s="288"/>
      <c r="C7" s="146"/>
      <c r="D7" s="43"/>
      <c r="E7" s="43"/>
      <c r="F7" s="213"/>
      <c r="G7" s="43"/>
      <c r="H7" s="44"/>
      <c r="I7" s="45"/>
      <c r="J7" s="45"/>
      <c r="K7" s="58"/>
      <c r="L7" s="43"/>
      <c r="M7" s="45"/>
      <c r="N7" s="45">
        <v>0</v>
      </c>
      <c r="O7" s="46"/>
      <c r="P7" s="55"/>
      <c r="Q7" s="45"/>
      <c r="R7" s="146">
        <v>0</v>
      </c>
      <c r="S7" s="58">
        <v>0</v>
      </c>
      <c r="T7" s="45"/>
      <c r="U7" s="43"/>
      <c r="V7" s="45"/>
      <c r="W7" s="45"/>
      <c r="X7" s="45">
        <v>0</v>
      </c>
      <c r="Y7" s="45">
        <v>0</v>
      </c>
      <c r="Z7" s="46"/>
      <c r="AA7" s="146"/>
      <c r="AB7" s="45">
        <v>0</v>
      </c>
      <c r="AC7" s="46">
        <v>0</v>
      </c>
      <c r="AD7" s="146"/>
      <c r="AE7" s="146"/>
      <c r="AF7" s="45"/>
      <c r="AG7" s="58">
        <v>86000</v>
      </c>
      <c r="AH7" s="43"/>
      <c r="AI7" s="45"/>
      <c r="AJ7" s="45"/>
      <c r="AK7" s="45"/>
      <c r="AL7" s="101">
        <f t="shared" si="0"/>
        <v>0</v>
      </c>
    </row>
    <row r="8" spans="1:38" s="37" customFormat="1" ht="25.5" x14ac:dyDescent="0.2">
      <c r="A8" s="280" t="s">
        <v>96</v>
      </c>
      <c r="B8" s="290" t="s">
        <v>279</v>
      </c>
      <c r="C8" s="146"/>
      <c r="D8" s="43"/>
      <c r="E8" s="43"/>
      <c r="F8" s="213"/>
      <c r="G8" s="43"/>
      <c r="H8" s="44"/>
      <c r="I8" s="45"/>
      <c r="J8" s="45">
        <v>0</v>
      </c>
      <c r="K8" s="58"/>
      <c r="L8" s="43"/>
      <c r="M8" s="45"/>
      <c r="N8" s="45">
        <v>61600</v>
      </c>
      <c r="O8" s="46">
        <v>0</v>
      </c>
      <c r="P8" s="55"/>
      <c r="Q8" s="45"/>
      <c r="R8" s="146"/>
      <c r="S8" s="58">
        <v>61600</v>
      </c>
      <c r="T8" s="45"/>
      <c r="U8" s="43"/>
      <c r="V8" s="45"/>
      <c r="W8" s="45"/>
      <c r="X8" s="45"/>
      <c r="Y8" s="45"/>
      <c r="Z8" s="46"/>
      <c r="AA8" s="146"/>
      <c r="AB8" s="45"/>
      <c r="AC8" s="46"/>
      <c r="AD8" s="146"/>
      <c r="AE8" s="146"/>
      <c r="AF8" s="45"/>
      <c r="AG8" s="58"/>
      <c r="AH8" s="43"/>
      <c r="AI8" s="45"/>
      <c r="AJ8" s="45"/>
      <c r="AK8" s="45"/>
      <c r="AL8" s="101">
        <f t="shared" si="0"/>
        <v>0</v>
      </c>
    </row>
    <row r="9" spans="1:38" s="37" customFormat="1" x14ac:dyDescent="0.2">
      <c r="A9" s="128" t="s">
        <v>97</v>
      </c>
      <c r="B9" s="288"/>
      <c r="C9" s="146"/>
      <c r="D9" s="43">
        <v>49967.695000000007</v>
      </c>
      <c r="E9" s="43"/>
      <c r="F9" s="213">
        <v>49812.41</v>
      </c>
      <c r="G9" s="43"/>
      <c r="H9" s="44"/>
      <c r="I9" s="45"/>
      <c r="J9" s="45"/>
      <c r="K9" s="58"/>
      <c r="L9" s="43"/>
      <c r="M9" s="45"/>
      <c r="N9" s="45"/>
      <c r="O9" s="46"/>
      <c r="P9" s="55"/>
      <c r="Q9" s="45"/>
      <c r="R9" s="146"/>
      <c r="S9" s="58"/>
      <c r="T9" s="45"/>
      <c r="U9" s="43"/>
      <c r="V9" s="45"/>
      <c r="W9" s="45"/>
      <c r="X9" s="45"/>
      <c r="Y9" s="45"/>
      <c r="Z9" s="46"/>
      <c r="AA9" s="146"/>
      <c r="AB9" s="45"/>
      <c r="AC9" s="46"/>
      <c r="AD9" s="146"/>
      <c r="AE9" s="146"/>
      <c r="AF9" s="45"/>
      <c r="AG9" s="58"/>
      <c r="AH9" s="43"/>
      <c r="AI9" s="45"/>
      <c r="AJ9" s="45"/>
      <c r="AK9" s="45"/>
      <c r="AL9" s="229">
        <f t="shared" si="0"/>
        <v>155.28500000000349</v>
      </c>
    </row>
    <row r="10" spans="1:38" s="37" customFormat="1" x14ac:dyDescent="0.2">
      <c r="A10" s="128" t="s">
        <v>37</v>
      </c>
      <c r="B10" s="288" t="s">
        <v>293</v>
      </c>
      <c r="C10" s="146"/>
      <c r="D10" s="43"/>
      <c r="E10" s="43">
        <v>26008.13</v>
      </c>
      <c r="F10" s="213"/>
      <c r="G10" s="43"/>
      <c r="H10" s="44"/>
      <c r="I10" s="45"/>
      <c r="J10" s="45"/>
      <c r="K10" s="58">
        <v>25956.75</v>
      </c>
      <c r="L10" s="43"/>
      <c r="M10" s="45"/>
      <c r="N10" s="45"/>
      <c r="O10" s="46"/>
      <c r="P10" s="55"/>
      <c r="Q10" s="45"/>
      <c r="R10" s="146"/>
      <c r="S10" s="58"/>
      <c r="T10" s="45"/>
      <c r="U10" s="43"/>
      <c r="V10" s="45"/>
      <c r="W10" s="45"/>
      <c r="X10" s="45"/>
      <c r="Y10" s="45"/>
      <c r="Z10" s="46"/>
      <c r="AA10" s="146"/>
      <c r="AB10" s="45"/>
      <c r="AC10" s="46"/>
      <c r="AD10" s="146"/>
      <c r="AE10" s="146"/>
      <c r="AF10" s="45"/>
      <c r="AG10" s="58"/>
      <c r="AH10" s="43"/>
      <c r="AI10" s="45"/>
      <c r="AJ10" s="45"/>
      <c r="AK10" s="45"/>
      <c r="AL10" s="229">
        <f t="shared" si="0"/>
        <v>51.380000000001019</v>
      </c>
    </row>
    <row r="11" spans="1:38" s="37" customFormat="1" x14ac:dyDescent="0.2">
      <c r="A11" s="128" t="s">
        <v>39</v>
      </c>
      <c r="B11" s="288"/>
      <c r="C11" s="146"/>
      <c r="D11" s="43">
        <v>28740.21488</v>
      </c>
      <c r="E11" s="43"/>
      <c r="F11" s="213">
        <v>28692.21</v>
      </c>
      <c r="G11" s="43"/>
      <c r="H11" s="44"/>
      <c r="I11" s="45"/>
      <c r="J11" s="45"/>
      <c r="K11" s="58"/>
      <c r="L11" s="43"/>
      <c r="M11" s="45"/>
      <c r="N11" s="45"/>
      <c r="O11" s="46"/>
      <c r="P11" s="55"/>
      <c r="Q11" s="45"/>
      <c r="R11" s="146"/>
      <c r="S11" s="58"/>
      <c r="T11" s="45"/>
      <c r="U11" s="43"/>
      <c r="V11" s="45"/>
      <c r="W11" s="45"/>
      <c r="X11" s="45"/>
      <c r="Y11" s="45"/>
      <c r="Z11" s="46"/>
      <c r="AA11" s="146"/>
      <c r="AB11" s="45"/>
      <c r="AC11" s="46"/>
      <c r="AD11" s="146"/>
      <c r="AE11" s="146"/>
      <c r="AF11" s="45"/>
      <c r="AG11" s="58"/>
      <c r="AH11" s="43"/>
      <c r="AI11" s="45"/>
      <c r="AJ11" s="45"/>
      <c r="AK11" s="45"/>
      <c r="AL11" s="229">
        <f t="shared" si="0"/>
        <v>48.004880000000412</v>
      </c>
    </row>
    <row r="12" spans="1:38" s="37" customFormat="1" x14ac:dyDescent="0.2">
      <c r="A12" s="128" t="s">
        <v>142</v>
      </c>
      <c r="B12" s="288" t="s">
        <v>295</v>
      </c>
      <c r="C12" s="146"/>
      <c r="D12" s="43">
        <v>92990.592149999997</v>
      </c>
      <c r="E12" s="43">
        <v>35376.769999999997</v>
      </c>
      <c r="F12" s="213"/>
      <c r="G12" s="43"/>
      <c r="H12" s="44"/>
      <c r="I12" s="45"/>
      <c r="J12" s="45"/>
      <c r="K12" s="58">
        <v>128368</v>
      </c>
      <c r="L12" s="43"/>
      <c r="M12" s="45"/>
      <c r="N12" s="45"/>
      <c r="O12" s="46"/>
      <c r="P12" s="55"/>
      <c r="Q12" s="45"/>
      <c r="R12" s="146"/>
      <c r="S12" s="58"/>
      <c r="T12" s="45"/>
      <c r="U12" s="43"/>
      <c r="V12" s="45"/>
      <c r="W12" s="45"/>
      <c r="X12" s="45"/>
      <c r="Y12" s="45"/>
      <c r="Z12" s="46"/>
      <c r="AA12" s="146"/>
      <c r="AB12" s="45"/>
      <c r="AC12" s="46"/>
      <c r="AD12" s="146"/>
      <c r="AE12" s="146"/>
      <c r="AF12" s="45"/>
      <c r="AG12" s="58"/>
      <c r="AH12" s="43"/>
      <c r="AI12" s="45"/>
      <c r="AJ12" s="45"/>
      <c r="AK12" s="45"/>
      <c r="AL12" s="101">
        <f t="shared" si="0"/>
        <v>-0.63784999999916181</v>
      </c>
    </row>
    <row r="13" spans="1:38" s="37" customFormat="1" ht="25.5" x14ac:dyDescent="0.2">
      <c r="A13" s="128" t="s">
        <v>38</v>
      </c>
      <c r="B13" s="288" t="s">
        <v>296</v>
      </c>
      <c r="C13" s="146"/>
      <c r="D13" s="43">
        <v>31682.355830000008</v>
      </c>
      <c r="E13" s="43">
        <v>33997.089999999997</v>
      </c>
      <c r="F13" s="213"/>
      <c r="G13" s="43"/>
      <c r="H13" s="44"/>
      <c r="I13" s="45"/>
      <c r="J13" s="45"/>
      <c r="K13" s="58">
        <v>65679.45</v>
      </c>
      <c r="L13" s="43"/>
      <c r="M13" s="45"/>
      <c r="N13" s="45"/>
      <c r="O13" s="46"/>
      <c r="P13" s="55"/>
      <c r="Q13" s="45"/>
      <c r="R13" s="146"/>
      <c r="S13" s="58"/>
      <c r="T13" s="45"/>
      <c r="U13" s="43"/>
      <c r="V13" s="45"/>
      <c r="W13" s="45"/>
      <c r="X13" s="45"/>
      <c r="Y13" s="45"/>
      <c r="Z13" s="46"/>
      <c r="AA13" s="146"/>
      <c r="AB13" s="45"/>
      <c r="AC13" s="46"/>
      <c r="AD13" s="146"/>
      <c r="AE13" s="146"/>
      <c r="AF13" s="45"/>
      <c r="AG13" s="58"/>
      <c r="AH13" s="43"/>
      <c r="AI13" s="45"/>
      <c r="AJ13" s="45"/>
      <c r="AK13" s="45"/>
      <c r="AL13" s="101">
        <f t="shared" si="0"/>
        <v>-4.1699999856064096E-3</v>
      </c>
    </row>
    <row r="14" spans="1:38" s="37" customFormat="1" ht="25.5" x14ac:dyDescent="0.2">
      <c r="A14" s="128" t="s">
        <v>40</v>
      </c>
      <c r="B14" s="288"/>
      <c r="C14" s="146"/>
      <c r="D14" s="43">
        <v>61875.870090000004</v>
      </c>
      <c r="E14" s="43">
        <v>20356.8</v>
      </c>
      <c r="F14" s="213">
        <v>82232.67</v>
      </c>
      <c r="G14" s="43"/>
      <c r="H14" s="44"/>
      <c r="I14" s="45"/>
      <c r="J14" s="45"/>
      <c r="K14" s="58"/>
      <c r="L14" s="43"/>
      <c r="M14" s="45"/>
      <c r="N14" s="45"/>
      <c r="O14" s="46"/>
      <c r="P14" s="55"/>
      <c r="Q14" s="45"/>
      <c r="R14" s="146"/>
      <c r="S14" s="58"/>
      <c r="T14" s="45"/>
      <c r="U14" s="43"/>
      <c r="V14" s="45"/>
      <c r="W14" s="45"/>
      <c r="X14" s="45"/>
      <c r="Y14" s="45"/>
      <c r="Z14" s="46"/>
      <c r="AA14" s="146"/>
      <c r="AB14" s="45"/>
      <c r="AC14" s="46"/>
      <c r="AD14" s="146"/>
      <c r="AE14" s="146"/>
      <c r="AF14" s="45"/>
      <c r="AG14" s="58"/>
      <c r="AH14" s="43"/>
      <c r="AI14" s="45"/>
      <c r="AJ14" s="45"/>
      <c r="AK14" s="45"/>
      <c r="AL14" s="101">
        <f t="shared" si="0"/>
        <v>9.0000001364387572E-5</v>
      </c>
    </row>
    <row r="15" spans="1:38" s="37" customFormat="1" ht="25.5" x14ac:dyDescent="0.2">
      <c r="A15" s="280" t="s">
        <v>41</v>
      </c>
      <c r="B15" s="290" t="s">
        <v>274</v>
      </c>
      <c r="C15" s="146"/>
      <c r="D15" s="43"/>
      <c r="E15" s="43">
        <v>190.46</v>
      </c>
      <c r="F15" s="213"/>
      <c r="G15" s="43"/>
      <c r="H15" s="44"/>
      <c r="I15" s="45"/>
      <c r="J15" s="45">
        <f>37759.83</f>
        <v>37759.83</v>
      </c>
      <c r="K15" s="58">
        <v>32.299999999999997</v>
      </c>
      <c r="L15" s="43"/>
      <c r="M15" s="45"/>
      <c r="N15" s="45">
        <v>5071</v>
      </c>
      <c r="O15" s="46">
        <v>43022</v>
      </c>
      <c r="P15" s="55"/>
      <c r="Q15" s="45"/>
      <c r="R15" s="146"/>
      <c r="S15" s="58"/>
      <c r="T15" s="45"/>
      <c r="U15" s="43"/>
      <c r="V15" s="45"/>
      <c r="W15" s="45"/>
      <c r="X15" s="45"/>
      <c r="Y15" s="45"/>
      <c r="Z15" s="46"/>
      <c r="AA15" s="146"/>
      <c r="AB15" s="45"/>
      <c r="AC15" s="46"/>
      <c r="AD15" s="146"/>
      <c r="AE15" s="146"/>
      <c r="AF15" s="45"/>
      <c r="AG15" s="58"/>
      <c r="AH15" s="43"/>
      <c r="AI15" s="45"/>
      <c r="AJ15" s="45"/>
      <c r="AK15" s="45"/>
      <c r="AL15" s="101">
        <f t="shared" si="0"/>
        <v>-33.010000000002037</v>
      </c>
    </row>
    <row r="16" spans="1:38" s="37" customFormat="1" ht="25.5" x14ac:dyDescent="0.2">
      <c r="A16" s="280" t="s">
        <v>43</v>
      </c>
      <c r="B16" s="290" t="s">
        <v>275</v>
      </c>
      <c r="C16" s="146"/>
      <c r="D16" s="43"/>
      <c r="E16" s="43"/>
      <c r="F16" s="213"/>
      <c r="G16" s="43"/>
      <c r="H16" s="44"/>
      <c r="I16" s="45"/>
      <c r="J16" s="45">
        <f>44419.3</f>
        <v>44419.3</v>
      </c>
      <c r="K16" s="58"/>
      <c r="L16" s="43"/>
      <c r="M16" s="45"/>
      <c r="N16" s="45">
        <v>28620</v>
      </c>
      <c r="O16" s="46">
        <v>73040</v>
      </c>
      <c r="P16" s="55"/>
      <c r="Q16" s="45"/>
      <c r="R16" s="146"/>
      <c r="S16" s="58"/>
      <c r="T16" s="45"/>
      <c r="U16" s="43"/>
      <c r="V16" s="45"/>
      <c r="W16" s="45"/>
      <c r="X16" s="45"/>
      <c r="Y16" s="45"/>
      <c r="Z16" s="46"/>
      <c r="AA16" s="146"/>
      <c r="AB16" s="45"/>
      <c r="AC16" s="46"/>
      <c r="AD16" s="146"/>
      <c r="AE16" s="146"/>
      <c r="AF16" s="45"/>
      <c r="AG16" s="58"/>
      <c r="AH16" s="43"/>
      <c r="AI16" s="45"/>
      <c r="AJ16" s="45"/>
      <c r="AK16" s="45"/>
      <c r="AL16" s="101">
        <f t="shared" si="0"/>
        <v>-0.69999999999708962</v>
      </c>
    </row>
    <row r="17" spans="1:38" s="37" customFormat="1" ht="25.5" x14ac:dyDescent="0.2">
      <c r="A17" s="128" t="s">
        <v>42</v>
      </c>
      <c r="B17" s="288"/>
      <c r="C17" s="146"/>
      <c r="D17" s="43">
        <v>50463.757810000003</v>
      </c>
      <c r="E17" s="43"/>
      <c r="F17" s="213">
        <v>46106.89</v>
      </c>
      <c r="G17" s="43"/>
      <c r="H17" s="44"/>
      <c r="I17" s="45"/>
      <c r="J17" s="45"/>
      <c r="K17" s="58"/>
      <c r="L17" s="43"/>
      <c r="M17" s="45"/>
      <c r="N17" s="45"/>
      <c r="O17" s="46"/>
      <c r="P17" s="55"/>
      <c r="Q17" s="45"/>
      <c r="R17" s="146"/>
      <c r="S17" s="58"/>
      <c r="T17" s="45"/>
      <c r="U17" s="43"/>
      <c r="V17" s="45"/>
      <c r="W17" s="45"/>
      <c r="X17" s="45"/>
      <c r="Y17" s="45"/>
      <c r="Z17" s="46"/>
      <c r="AA17" s="146"/>
      <c r="AB17" s="45"/>
      <c r="AC17" s="46"/>
      <c r="AD17" s="146"/>
      <c r="AE17" s="146"/>
      <c r="AF17" s="45"/>
      <c r="AG17" s="58"/>
      <c r="AH17" s="43"/>
      <c r="AI17" s="45"/>
      <c r="AJ17" s="45"/>
      <c r="AK17" s="45"/>
      <c r="AL17" s="229">
        <f t="shared" si="0"/>
        <v>4356.8678100000034</v>
      </c>
    </row>
    <row r="18" spans="1:38" s="37" customFormat="1" x14ac:dyDescent="0.2">
      <c r="A18" s="128" t="s">
        <v>195</v>
      </c>
      <c r="B18" s="288"/>
      <c r="C18" s="146"/>
      <c r="D18" s="43">
        <v>12</v>
      </c>
      <c r="E18" s="43"/>
      <c r="F18" s="213"/>
      <c r="G18" s="43"/>
      <c r="H18" s="44"/>
      <c r="I18" s="45"/>
      <c r="J18" s="45"/>
      <c r="K18" s="58"/>
      <c r="L18" s="43"/>
      <c r="M18" s="45"/>
      <c r="N18" s="45"/>
      <c r="O18" s="46"/>
      <c r="P18" s="55"/>
      <c r="Q18" s="45"/>
      <c r="R18" s="146"/>
      <c r="S18" s="58"/>
      <c r="T18" s="45"/>
      <c r="U18" s="43"/>
      <c r="V18" s="45"/>
      <c r="W18" s="45"/>
      <c r="X18" s="45"/>
      <c r="Y18" s="45"/>
      <c r="Z18" s="46"/>
      <c r="AA18" s="146"/>
      <c r="AB18" s="45"/>
      <c r="AC18" s="46"/>
      <c r="AD18" s="146"/>
      <c r="AE18" s="146"/>
      <c r="AF18" s="45"/>
      <c r="AG18" s="58"/>
      <c r="AH18" s="43"/>
      <c r="AI18" s="45"/>
      <c r="AJ18" s="45"/>
      <c r="AK18" s="45"/>
      <c r="AL18" s="229">
        <f t="shared" si="0"/>
        <v>12</v>
      </c>
    </row>
    <row r="19" spans="1:38" s="37" customFormat="1" x14ac:dyDescent="0.2">
      <c r="A19" s="280" t="s">
        <v>44</v>
      </c>
      <c r="B19" s="290" t="s">
        <v>283</v>
      </c>
      <c r="C19" s="146"/>
      <c r="D19" s="43"/>
      <c r="E19" s="43"/>
      <c r="F19" s="213"/>
      <c r="G19" s="43"/>
      <c r="H19" s="44"/>
      <c r="I19" s="45"/>
      <c r="J19" s="45">
        <v>38810.980000000003</v>
      </c>
      <c r="K19" s="58">
        <v>38810.980000000003</v>
      </c>
      <c r="L19" s="43"/>
      <c r="M19" s="45"/>
      <c r="N19" s="45"/>
      <c r="O19" s="46"/>
      <c r="P19" s="55"/>
      <c r="Q19" s="45"/>
      <c r="R19" s="146"/>
      <c r="S19" s="58"/>
      <c r="T19" s="45"/>
      <c r="U19" s="43"/>
      <c r="V19" s="45"/>
      <c r="W19" s="45"/>
      <c r="X19" s="45"/>
      <c r="Y19" s="45"/>
      <c r="Z19" s="46"/>
      <c r="AA19" s="146"/>
      <c r="AB19" s="45"/>
      <c r="AC19" s="46"/>
      <c r="AD19" s="146"/>
      <c r="AE19" s="146"/>
      <c r="AF19" s="45"/>
      <c r="AG19" s="58"/>
      <c r="AH19" s="43"/>
      <c r="AI19" s="45"/>
      <c r="AJ19" s="45"/>
      <c r="AK19" s="45"/>
      <c r="AL19" s="101">
        <f t="shared" si="0"/>
        <v>0</v>
      </c>
    </row>
    <row r="20" spans="1:38" s="37" customFormat="1" x14ac:dyDescent="0.2">
      <c r="A20" s="280" t="s">
        <v>45</v>
      </c>
      <c r="B20" s="290" t="s">
        <v>284</v>
      </c>
      <c r="C20" s="146"/>
      <c r="D20" s="43"/>
      <c r="E20" s="43">
        <v>27498.560000000001</v>
      </c>
      <c r="F20" s="213"/>
      <c r="G20" s="43"/>
      <c r="H20" s="44"/>
      <c r="I20" s="45"/>
      <c r="J20" s="45">
        <v>1535.94</v>
      </c>
      <c r="K20" s="58">
        <v>28764.5</v>
      </c>
      <c r="L20" s="43"/>
      <c r="M20" s="45"/>
      <c r="N20" s="45"/>
      <c r="O20" s="46"/>
      <c r="P20" s="55"/>
      <c r="Q20" s="45"/>
      <c r="R20" s="146"/>
      <c r="S20" s="58"/>
      <c r="T20" s="45"/>
      <c r="U20" s="43"/>
      <c r="V20" s="45"/>
      <c r="W20" s="45"/>
      <c r="X20" s="45"/>
      <c r="Y20" s="45"/>
      <c r="Z20" s="46"/>
      <c r="AA20" s="146"/>
      <c r="AB20" s="45"/>
      <c r="AC20" s="46"/>
      <c r="AD20" s="146"/>
      <c r="AE20" s="146"/>
      <c r="AF20" s="45"/>
      <c r="AG20" s="58"/>
      <c r="AH20" s="43"/>
      <c r="AI20" s="45"/>
      <c r="AJ20" s="45"/>
      <c r="AK20" s="45"/>
      <c r="AL20" s="101">
        <f t="shared" si="0"/>
        <v>270</v>
      </c>
    </row>
    <row r="21" spans="1:38" s="37" customFormat="1" x14ac:dyDescent="0.2">
      <c r="A21" s="280" t="s">
        <v>47</v>
      </c>
      <c r="B21" s="290" t="s">
        <v>282</v>
      </c>
      <c r="C21" s="146"/>
      <c r="D21" s="43"/>
      <c r="E21" s="43"/>
      <c r="F21" s="213"/>
      <c r="G21" s="43"/>
      <c r="H21" s="45"/>
      <c r="I21" s="45"/>
      <c r="J21" s="45">
        <f>23650</f>
        <v>23650</v>
      </c>
      <c r="K21" s="58"/>
      <c r="L21" s="43"/>
      <c r="M21" s="45"/>
      <c r="N21" s="45">
        <v>31320</v>
      </c>
      <c r="O21" s="46"/>
      <c r="P21" s="55"/>
      <c r="Q21" s="45"/>
      <c r="R21" s="146"/>
      <c r="S21" s="58">
        <v>54970</v>
      </c>
      <c r="T21" s="45"/>
      <c r="U21" s="43"/>
      <c r="V21" s="45"/>
      <c r="W21" s="45"/>
      <c r="X21" s="45"/>
      <c r="Y21" s="45"/>
      <c r="Z21" s="46"/>
      <c r="AA21" s="146"/>
      <c r="AB21" s="45"/>
      <c r="AC21" s="46"/>
      <c r="AD21" s="146"/>
      <c r="AE21" s="146"/>
      <c r="AF21" s="45"/>
      <c r="AG21" s="58"/>
      <c r="AH21" s="43"/>
      <c r="AI21" s="45"/>
      <c r="AJ21" s="45"/>
      <c r="AK21" s="45"/>
      <c r="AL21" s="101">
        <f t="shared" si="0"/>
        <v>0</v>
      </c>
    </row>
    <row r="22" spans="1:38" s="37" customFormat="1" x14ac:dyDescent="0.2">
      <c r="A22" s="128" t="s">
        <v>48</v>
      </c>
      <c r="B22" s="288"/>
      <c r="C22" s="146"/>
      <c r="D22" s="43"/>
      <c r="E22" s="43"/>
      <c r="F22" s="213"/>
      <c r="G22" s="43"/>
      <c r="H22" s="45"/>
      <c r="I22" s="45"/>
      <c r="J22" s="45"/>
      <c r="K22" s="58"/>
      <c r="L22" s="43"/>
      <c r="M22" s="45"/>
      <c r="N22" s="45">
        <v>34384</v>
      </c>
      <c r="O22" s="46">
        <v>0</v>
      </c>
      <c r="P22" s="55"/>
      <c r="Q22" s="45"/>
      <c r="R22" s="146"/>
      <c r="S22" s="58">
        <v>34384</v>
      </c>
      <c r="T22" s="45"/>
      <c r="U22" s="43"/>
      <c r="V22" s="45"/>
      <c r="W22" s="45"/>
      <c r="X22" s="45"/>
      <c r="Y22" s="45"/>
      <c r="Z22" s="46"/>
      <c r="AA22" s="146"/>
      <c r="AB22" s="45"/>
      <c r="AC22" s="46"/>
      <c r="AD22" s="146"/>
      <c r="AE22" s="146"/>
      <c r="AF22" s="45"/>
      <c r="AG22" s="58"/>
      <c r="AH22" s="43"/>
      <c r="AI22" s="45"/>
      <c r="AJ22" s="45"/>
      <c r="AK22" s="45"/>
      <c r="AL22" s="101">
        <f t="shared" si="0"/>
        <v>0</v>
      </c>
    </row>
    <row r="23" spans="1:38" s="37" customFormat="1" ht="25.5" x14ac:dyDescent="0.2">
      <c r="A23" s="128" t="s">
        <v>49</v>
      </c>
      <c r="B23" s="288"/>
      <c r="C23" s="146"/>
      <c r="D23" s="43"/>
      <c r="E23" s="43"/>
      <c r="F23" s="213"/>
      <c r="G23" s="43"/>
      <c r="H23" s="45"/>
      <c r="I23" s="45"/>
      <c r="J23" s="45"/>
      <c r="K23" s="58"/>
      <c r="L23" s="43"/>
      <c r="M23" s="45"/>
      <c r="N23" s="45"/>
      <c r="O23" s="46"/>
      <c r="P23" s="55"/>
      <c r="Q23" s="45"/>
      <c r="R23" s="146"/>
      <c r="S23" s="58"/>
      <c r="T23" s="45"/>
      <c r="U23" s="43"/>
      <c r="V23" s="45"/>
      <c r="W23" s="45"/>
      <c r="X23" s="45"/>
      <c r="Y23" s="45"/>
      <c r="Z23" s="46"/>
      <c r="AA23" s="146"/>
      <c r="AB23" s="45"/>
      <c r="AC23" s="46"/>
      <c r="AD23" s="146"/>
      <c r="AE23" s="146"/>
      <c r="AF23" s="45"/>
      <c r="AG23" s="58"/>
      <c r="AH23" s="43"/>
      <c r="AI23" s="45"/>
      <c r="AJ23" s="45"/>
      <c r="AK23" s="45"/>
      <c r="AL23" s="101">
        <f t="shared" si="0"/>
        <v>0</v>
      </c>
    </row>
    <row r="24" spans="1:38" s="37" customFormat="1" ht="38.25" x14ac:dyDescent="0.2">
      <c r="A24" s="128" t="s">
        <v>50</v>
      </c>
      <c r="B24" s="288"/>
      <c r="C24" s="146"/>
      <c r="D24" s="43"/>
      <c r="E24" s="43"/>
      <c r="F24" s="213"/>
      <c r="G24" s="43"/>
      <c r="H24" s="45"/>
      <c r="I24" s="45"/>
      <c r="J24" s="45"/>
      <c r="K24" s="58"/>
      <c r="L24" s="43"/>
      <c r="M24" s="45"/>
      <c r="N24" s="45"/>
      <c r="O24" s="46"/>
      <c r="P24" s="55"/>
      <c r="Q24" s="45"/>
      <c r="R24" s="146"/>
      <c r="S24" s="58"/>
      <c r="T24" s="45"/>
      <c r="U24" s="43"/>
      <c r="V24" s="45"/>
      <c r="W24" s="45"/>
      <c r="X24" s="45"/>
      <c r="Y24" s="45"/>
      <c r="Z24" s="46"/>
      <c r="AA24" s="146"/>
      <c r="AB24" s="45"/>
      <c r="AC24" s="46"/>
      <c r="AD24" s="146"/>
      <c r="AE24" s="146"/>
      <c r="AF24" s="45"/>
      <c r="AG24" s="58"/>
      <c r="AH24" s="43"/>
      <c r="AI24" s="45"/>
      <c r="AJ24" s="45"/>
      <c r="AK24" s="45"/>
      <c r="AL24" s="101">
        <f t="shared" si="0"/>
        <v>0</v>
      </c>
    </row>
    <row r="25" spans="1:38" s="37" customFormat="1" ht="25.5" x14ac:dyDescent="0.2">
      <c r="A25" s="128" t="s">
        <v>51</v>
      </c>
      <c r="B25" s="288"/>
      <c r="C25" s="146"/>
      <c r="D25" s="43"/>
      <c r="E25" s="43"/>
      <c r="F25" s="213"/>
      <c r="G25" s="43"/>
      <c r="H25" s="45"/>
      <c r="I25" s="45"/>
      <c r="J25" s="45"/>
      <c r="K25" s="58"/>
      <c r="L25" s="43"/>
      <c r="M25" s="45"/>
      <c r="N25" s="45"/>
      <c r="O25" s="46"/>
      <c r="P25" s="55"/>
      <c r="Q25" s="45"/>
      <c r="R25" s="146"/>
      <c r="S25" s="58"/>
      <c r="T25" s="45"/>
      <c r="U25" s="43"/>
      <c r="V25" s="45"/>
      <c r="W25" s="45"/>
      <c r="X25" s="45"/>
      <c r="Y25" s="45"/>
      <c r="Z25" s="46"/>
      <c r="AA25" s="146"/>
      <c r="AB25" s="45"/>
      <c r="AC25" s="46"/>
      <c r="AD25" s="146"/>
      <c r="AE25" s="146"/>
      <c r="AF25" s="45"/>
      <c r="AG25" s="58"/>
      <c r="AH25" s="43"/>
      <c r="AI25" s="45"/>
      <c r="AJ25" s="45"/>
      <c r="AK25" s="45"/>
      <c r="AL25" s="101">
        <f t="shared" si="0"/>
        <v>0</v>
      </c>
    </row>
    <row r="26" spans="1:38" s="37" customFormat="1" ht="25.5" x14ac:dyDescent="0.2">
      <c r="A26" s="128" t="s">
        <v>52</v>
      </c>
      <c r="B26" s="288"/>
      <c r="C26" s="146"/>
      <c r="D26" s="43"/>
      <c r="E26" s="43"/>
      <c r="F26" s="213"/>
      <c r="G26" s="43"/>
      <c r="H26" s="45"/>
      <c r="I26" s="45"/>
      <c r="J26" s="45"/>
      <c r="K26" s="58"/>
      <c r="L26" s="43"/>
      <c r="M26" s="45"/>
      <c r="N26" s="45"/>
      <c r="O26" s="46"/>
      <c r="P26" s="55"/>
      <c r="Q26" s="45"/>
      <c r="R26" s="146"/>
      <c r="S26" s="58"/>
      <c r="T26" s="45"/>
      <c r="U26" s="43"/>
      <c r="V26" s="45"/>
      <c r="W26" s="45"/>
      <c r="X26" s="45"/>
      <c r="Y26" s="45"/>
      <c r="Z26" s="46"/>
      <c r="AA26" s="146"/>
      <c r="AB26" s="45"/>
      <c r="AC26" s="46"/>
      <c r="AD26" s="146"/>
      <c r="AE26" s="146"/>
      <c r="AF26" s="45"/>
      <c r="AG26" s="58"/>
      <c r="AH26" s="43"/>
      <c r="AI26" s="45"/>
      <c r="AJ26" s="45"/>
      <c r="AK26" s="45"/>
      <c r="AL26" s="101">
        <f t="shared" si="0"/>
        <v>0</v>
      </c>
    </row>
    <row r="27" spans="1:38" s="37" customFormat="1" ht="25.5" x14ac:dyDescent="0.2">
      <c r="A27" s="128" t="s">
        <v>53</v>
      </c>
      <c r="B27" s="288"/>
      <c r="C27" s="146"/>
      <c r="D27" s="43"/>
      <c r="E27" s="43"/>
      <c r="F27" s="213"/>
      <c r="G27" s="43"/>
      <c r="H27" s="45"/>
      <c r="I27" s="45"/>
      <c r="J27" s="45"/>
      <c r="K27" s="58"/>
      <c r="L27" s="43"/>
      <c r="M27" s="45"/>
      <c r="N27" s="45"/>
      <c r="O27" s="46"/>
      <c r="P27" s="55"/>
      <c r="Q27" s="45"/>
      <c r="R27" s="146"/>
      <c r="S27" s="58"/>
      <c r="T27" s="45"/>
      <c r="U27" s="43"/>
      <c r="V27" s="45"/>
      <c r="W27" s="45"/>
      <c r="X27" s="45"/>
      <c r="Y27" s="45"/>
      <c r="Z27" s="46"/>
      <c r="AA27" s="146"/>
      <c r="AB27" s="45"/>
      <c r="AC27" s="46"/>
      <c r="AD27" s="146"/>
      <c r="AE27" s="146"/>
      <c r="AF27" s="45"/>
      <c r="AG27" s="58"/>
      <c r="AH27" s="43"/>
      <c r="AI27" s="45"/>
      <c r="AJ27" s="45"/>
      <c r="AK27" s="45"/>
      <c r="AL27" s="101">
        <f t="shared" si="0"/>
        <v>0</v>
      </c>
    </row>
    <row r="28" spans="1:38" s="37" customFormat="1" ht="25.5" x14ac:dyDescent="0.2">
      <c r="A28" s="128" t="s">
        <v>54</v>
      </c>
      <c r="B28" s="288"/>
      <c r="C28" s="146"/>
      <c r="D28" s="43"/>
      <c r="E28" s="43"/>
      <c r="F28" s="213"/>
      <c r="G28" s="43"/>
      <c r="H28" s="45"/>
      <c r="I28" s="45"/>
      <c r="J28" s="45"/>
      <c r="K28" s="58"/>
      <c r="L28" s="43"/>
      <c r="M28" s="45"/>
      <c r="N28" s="45">
        <v>109777</v>
      </c>
      <c r="O28" s="46"/>
      <c r="P28" s="55"/>
      <c r="Q28" s="45"/>
      <c r="R28" s="146">
        <v>0</v>
      </c>
      <c r="S28" s="58">
        <v>109777</v>
      </c>
      <c r="T28" s="45"/>
      <c r="U28" s="43"/>
      <c r="V28" s="45"/>
      <c r="W28" s="45"/>
      <c r="X28" s="45"/>
      <c r="Y28" s="45"/>
      <c r="Z28" s="46"/>
      <c r="AA28" s="146"/>
      <c r="AB28" s="45"/>
      <c r="AC28" s="46"/>
      <c r="AD28" s="146"/>
      <c r="AE28" s="146"/>
      <c r="AF28" s="45"/>
      <c r="AG28" s="58"/>
      <c r="AH28" s="43"/>
      <c r="AI28" s="45"/>
      <c r="AJ28" s="45"/>
      <c r="AK28" s="45"/>
      <c r="AL28" s="101">
        <f t="shared" si="0"/>
        <v>0</v>
      </c>
    </row>
    <row r="29" spans="1:38" s="37" customFormat="1" ht="25.5" x14ac:dyDescent="0.2">
      <c r="A29" s="280" t="s">
        <v>55</v>
      </c>
      <c r="B29" s="290" t="s">
        <v>290</v>
      </c>
      <c r="C29" s="146"/>
      <c r="D29" s="43"/>
      <c r="E29" s="43"/>
      <c r="F29" s="213"/>
      <c r="G29" s="43"/>
      <c r="H29" s="45"/>
      <c r="I29" s="45"/>
      <c r="J29" s="45">
        <v>27540</v>
      </c>
      <c r="K29" s="58"/>
      <c r="L29" s="43"/>
      <c r="M29" s="45"/>
      <c r="N29" s="45">
        <v>52020</v>
      </c>
      <c r="O29" s="46"/>
      <c r="P29" s="55"/>
      <c r="Q29" s="45"/>
      <c r="R29" s="146"/>
      <c r="S29" s="58">
        <v>79830</v>
      </c>
      <c r="T29" s="45"/>
      <c r="U29" s="43"/>
      <c r="V29" s="45"/>
      <c r="W29" s="45"/>
      <c r="X29" s="45"/>
      <c r="Y29" s="45"/>
      <c r="Z29" s="46"/>
      <c r="AA29" s="146"/>
      <c r="AB29" s="45"/>
      <c r="AC29" s="46"/>
      <c r="AD29" s="146"/>
      <c r="AE29" s="146"/>
      <c r="AF29" s="45"/>
      <c r="AG29" s="58"/>
      <c r="AH29" s="43"/>
      <c r="AI29" s="45"/>
      <c r="AJ29" s="45"/>
      <c r="AK29" s="45"/>
      <c r="AL29" s="101">
        <f t="shared" si="0"/>
        <v>-270</v>
      </c>
    </row>
    <row r="30" spans="1:38" s="37" customFormat="1" ht="25.5" x14ac:dyDescent="0.2">
      <c r="A30" s="128" t="s">
        <v>56</v>
      </c>
      <c r="B30" s="288"/>
      <c r="C30" s="146"/>
      <c r="D30" s="43"/>
      <c r="E30" s="43"/>
      <c r="F30" s="213"/>
      <c r="G30" s="43"/>
      <c r="H30" s="45"/>
      <c r="I30" s="45"/>
      <c r="J30" s="45"/>
      <c r="K30" s="58"/>
      <c r="L30" s="43"/>
      <c r="M30" s="45"/>
      <c r="N30" s="45"/>
      <c r="O30" s="46"/>
      <c r="P30" s="55"/>
      <c r="Q30" s="45"/>
      <c r="R30" s="146"/>
      <c r="S30" s="58"/>
      <c r="T30" s="45"/>
      <c r="U30" s="43"/>
      <c r="V30" s="45"/>
      <c r="W30" s="45"/>
      <c r="X30" s="45"/>
      <c r="Y30" s="45"/>
      <c r="Z30" s="46"/>
      <c r="AA30" s="146"/>
      <c r="AB30" s="45"/>
      <c r="AC30" s="46"/>
      <c r="AD30" s="146"/>
      <c r="AE30" s="146"/>
      <c r="AF30" s="45"/>
      <c r="AG30" s="58"/>
      <c r="AH30" s="43"/>
      <c r="AI30" s="45"/>
      <c r="AJ30" s="45"/>
      <c r="AK30" s="45"/>
      <c r="AL30" s="101">
        <f t="shared" si="0"/>
        <v>0</v>
      </c>
    </row>
    <row r="31" spans="1:38" s="37" customFormat="1" x14ac:dyDescent="0.2">
      <c r="A31" s="280" t="s">
        <v>57</v>
      </c>
      <c r="B31" s="290" t="s">
        <v>291</v>
      </c>
      <c r="C31" s="146"/>
      <c r="D31" s="43"/>
      <c r="E31" s="43"/>
      <c r="F31" s="213"/>
      <c r="G31" s="43"/>
      <c r="H31" s="44"/>
      <c r="I31" s="45"/>
      <c r="J31" s="45">
        <v>0</v>
      </c>
      <c r="K31" s="58"/>
      <c r="L31" s="43"/>
      <c r="M31" s="45"/>
      <c r="N31" s="45">
        <v>102513</v>
      </c>
      <c r="O31" s="46"/>
      <c r="P31" s="55"/>
      <c r="Q31" s="45"/>
      <c r="R31" s="146">
        <v>0</v>
      </c>
      <c r="S31" s="58">
        <v>102513</v>
      </c>
      <c r="T31" s="45"/>
      <c r="U31" s="43"/>
      <c r="V31" s="45"/>
      <c r="W31" s="45"/>
      <c r="X31" s="45"/>
      <c r="Y31" s="45"/>
      <c r="Z31" s="46"/>
      <c r="AA31" s="146"/>
      <c r="AB31" s="45"/>
      <c r="AC31" s="46"/>
      <c r="AD31" s="146"/>
      <c r="AE31" s="146"/>
      <c r="AF31" s="45"/>
      <c r="AG31" s="58"/>
      <c r="AH31" s="43"/>
      <c r="AI31" s="45"/>
      <c r="AJ31" s="45"/>
      <c r="AK31" s="45"/>
      <c r="AL31" s="101">
        <f t="shared" si="0"/>
        <v>0</v>
      </c>
    </row>
    <row r="32" spans="1:38" s="37" customFormat="1" x14ac:dyDescent="0.2">
      <c r="A32" s="280" t="s">
        <v>58</v>
      </c>
      <c r="B32" s="290" t="s">
        <v>288</v>
      </c>
      <c r="C32" s="146"/>
      <c r="D32" s="43"/>
      <c r="E32" s="43"/>
      <c r="F32" s="213"/>
      <c r="G32" s="43"/>
      <c r="H32" s="44"/>
      <c r="I32" s="45"/>
      <c r="J32" s="45">
        <f>3930-3930</f>
        <v>0</v>
      </c>
      <c r="K32" s="58"/>
      <c r="L32" s="43"/>
      <c r="M32" s="45"/>
      <c r="N32" s="45">
        <v>3930</v>
      </c>
      <c r="O32" s="46">
        <v>3930</v>
      </c>
      <c r="P32" s="55"/>
      <c r="Q32" s="45"/>
      <c r="R32" s="146"/>
      <c r="S32" s="58"/>
      <c r="T32" s="45"/>
      <c r="U32" s="43"/>
      <c r="V32" s="45"/>
      <c r="W32" s="45"/>
      <c r="X32" s="45"/>
      <c r="Y32" s="45"/>
      <c r="Z32" s="46"/>
      <c r="AA32" s="146"/>
      <c r="AB32" s="45"/>
      <c r="AC32" s="46"/>
      <c r="AD32" s="146"/>
      <c r="AE32" s="146"/>
      <c r="AF32" s="45"/>
      <c r="AG32" s="58"/>
      <c r="AH32" s="43"/>
      <c r="AI32" s="45"/>
      <c r="AJ32" s="45"/>
      <c r="AK32" s="45"/>
      <c r="AL32" s="101">
        <f t="shared" si="0"/>
        <v>0</v>
      </c>
    </row>
    <row r="33" spans="1:38" s="37" customFormat="1" x14ac:dyDescent="0.2">
      <c r="A33" s="280" t="s">
        <v>59</v>
      </c>
      <c r="B33" s="290" t="s">
        <v>287</v>
      </c>
      <c r="C33" s="146"/>
      <c r="D33" s="43"/>
      <c r="E33" s="43"/>
      <c r="F33" s="213"/>
      <c r="G33" s="43"/>
      <c r="H33" s="44"/>
      <c r="I33" s="45"/>
      <c r="J33" s="45">
        <f>3273</f>
        <v>3273</v>
      </c>
      <c r="K33" s="58"/>
      <c r="L33" s="43"/>
      <c r="M33" s="45"/>
      <c r="N33" s="45"/>
      <c r="O33" s="46">
        <v>3273</v>
      </c>
      <c r="P33" s="55"/>
      <c r="Q33" s="45"/>
      <c r="R33" s="146"/>
      <c r="S33" s="58"/>
      <c r="T33" s="45"/>
      <c r="U33" s="43"/>
      <c r="V33" s="45"/>
      <c r="W33" s="45"/>
      <c r="X33" s="45"/>
      <c r="Y33" s="45"/>
      <c r="Z33" s="46"/>
      <c r="AA33" s="146"/>
      <c r="AB33" s="45"/>
      <c r="AC33" s="46"/>
      <c r="AD33" s="146"/>
      <c r="AE33" s="146"/>
      <c r="AF33" s="45"/>
      <c r="AG33" s="58"/>
      <c r="AH33" s="43"/>
      <c r="AI33" s="45"/>
      <c r="AJ33" s="45"/>
      <c r="AK33" s="45"/>
      <c r="AL33" s="101">
        <f t="shared" si="0"/>
        <v>0</v>
      </c>
    </row>
    <row r="34" spans="1:38" s="37" customFormat="1" x14ac:dyDescent="0.2">
      <c r="A34" s="280" t="s">
        <v>60</v>
      </c>
      <c r="B34" s="290" t="s">
        <v>286</v>
      </c>
      <c r="C34" s="146"/>
      <c r="D34" s="43"/>
      <c r="E34" s="43"/>
      <c r="F34" s="213"/>
      <c r="G34" s="43"/>
      <c r="H34" s="44"/>
      <c r="I34" s="45"/>
      <c r="J34" s="45">
        <f>1667-1667</f>
        <v>0</v>
      </c>
      <c r="K34" s="58"/>
      <c r="L34" s="43"/>
      <c r="M34" s="45"/>
      <c r="N34" s="45">
        <v>1666</v>
      </c>
      <c r="O34" s="46">
        <v>1667</v>
      </c>
      <c r="P34" s="55"/>
      <c r="Q34" s="45"/>
      <c r="R34" s="146"/>
      <c r="S34" s="58"/>
      <c r="T34" s="45"/>
      <c r="U34" s="43"/>
      <c r="V34" s="45"/>
      <c r="W34" s="45"/>
      <c r="X34" s="45"/>
      <c r="Y34" s="45"/>
      <c r="Z34" s="46"/>
      <c r="AA34" s="146"/>
      <c r="AB34" s="45"/>
      <c r="AC34" s="46"/>
      <c r="AD34" s="146"/>
      <c r="AE34" s="146"/>
      <c r="AF34" s="45"/>
      <c r="AG34" s="58"/>
      <c r="AH34" s="43"/>
      <c r="AI34" s="45"/>
      <c r="AJ34" s="45"/>
      <c r="AK34" s="45"/>
      <c r="AL34" s="101">
        <f t="shared" si="0"/>
        <v>-1</v>
      </c>
    </row>
    <row r="35" spans="1:38" s="37" customFormat="1" x14ac:dyDescent="0.2">
      <c r="A35" s="147" t="s">
        <v>209</v>
      </c>
      <c r="B35" s="291"/>
      <c r="C35" s="146"/>
      <c r="D35" s="43"/>
      <c r="E35" s="43"/>
      <c r="F35" s="213"/>
      <c r="G35" s="43"/>
      <c r="H35" s="44"/>
      <c r="I35" s="45"/>
      <c r="J35" s="45"/>
      <c r="K35" s="58"/>
      <c r="L35" s="43"/>
      <c r="M35" s="45"/>
      <c r="N35" s="45"/>
      <c r="O35" s="46"/>
      <c r="P35" s="55"/>
      <c r="Q35" s="45"/>
      <c r="R35" s="146">
        <v>313000</v>
      </c>
      <c r="S35" s="58">
        <v>43300</v>
      </c>
      <c r="T35" s="45"/>
      <c r="U35" s="43"/>
      <c r="V35" s="45"/>
      <c r="W35" s="45"/>
      <c r="X35" s="45">
        <v>385000</v>
      </c>
      <c r="Y35" s="45">
        <v>269700</v>
      </c>
      <c r="Z35" s="46">
        <v>98300</v>
      </c>
      <c r="AA35" s="146"/>
      <c r="AB35" s="45">
        <v>275000</v>
      </c>
      <c r="AC35" s="46">
        <v>435000</v>
      </c>
      <c r="AD35" s="146"/>
      <c r="AE35" s="146"/>
      <c r="AF35" s="45">
        <v>223300</v>
      </c>
      <c r="AG35" s="58">
        <v>235000</v>
      </c>
      <c r="AH35" s="43"/>
      <c r="AI35" s="45"/>
      <c r="AJ35" s="45"/>
      <c r="AK35" s="45">
        <v>115000</v>
      </c>
      <c r="AL35" s="101"/>
    </row>
    <row r="36" spans="1:38" ht="25.5" x14ac:dyDescent="0.2">
      <c r="A36" s="16" t="s">
        <v>298</v>
      </c>
      <c r="B36" s="292"/>
      <c r="C36" s="159"/>
      <c r="D36" s="23"/>
      <c r="E36" s="23"/>
      <c r="F36" s="214"/>
      <c r="G36" s="23"/>
      <c r="H36" s="6"/>
      <c r="I36" s="6">
        <v>807</v>
      </c>
      <c r="J36" s="6"/>
      <c r="K36" s="59"/>
      <c r="L36" s="31"/>
      <c r="M36" s="7">
        <v>30000</v>
      </c>
      <c r="N36" s="7"/>
      <c r="O36" s="32"/>
      <c r="P36" s="131"/>
      <c r="Q36" s="6">
        <v>256171</v>
      </c>
      <c r="R36" s="189"/>
      <c r="S36" s="59"/>
      <c r="T36" s="6"/>
      <c r="U36" s="23"/>
      <c r="V36" s="6"/>
      <c r="W36" s="6"/>
      <c r="X36" s="6"/>
      <c r="Y36" s="6"/>
      <c r="Z36" s="24"/>
      <c r="AA36" s="159"/>
      <c r="AB36" s="6"/>
      <c r="AC36" s="24"/>
      <c r="AD36" s="159"/>
      <c r="AE36" s="159"/>
      <c r="AF36" s="6"/>
      <c r="AG36" s="59"/>
      <c r="AH36" s="23"/>
      <c r="AI36" s="6"/>
      <c r="AJ36" s="6"/>
      <c r="AK36" s="6"/>
      <c r="AL36" s="101">
        <f>D36+E36+J36+N36+R36+W36-F36-K36-O36-S36-Y36</f>
        <v>0</v>
      </c>
    </row>
    <row r="37" spans="1:38" ht="38.25" x14ac:dyDescent="0.2">
      <c r="A37" s="16" t="s">
        <v>25</v>
      </c>
      <c r="B37" s="292"/>
      <c r="C37" s="159"/>
      <c r="D37" s="23"/>
      <c r="E37" s="23"/>
      <c r="F37" s="214"/>
      <c r="G37" s="23"/>
      <c r="H37" s="6"/>
      <c r="I37" s="6">
        <v>18298</v>
      </c>
      <c r="J37" s="6"/>
      <c r="K37" s="59"/>
      <c r="L37" s="31"/>
      <c r="M37" s="7">
        <v>13000</v>
      </c>
      <c r="N37" s="7"/>
      <c r="O37" s="32"/>
      <c r="P37" s="131"/>
      <c r="Q37" s="6">
        <v>29000</v>
      </c>
      <c r="R37" s="189"/>
      <c r="S37" s="59"/>
      <c r="T37" s="6"/>
      <c r="U37" s="23"/>
      <c r="V37" s="6">
        <v>2702</v>
      </c>
      <c r="W37" s="6"/>
      <c r="X37" s="6"/>
      <c r="Y37" s="6"/>
      <c r="Z37" s="24"/>
      <c r="AA37" s="159"/>
      <c r="AB37" s="6"/>
      <c r="AC37" s="24"/>
      <c r="AD37" s="159"/>
      <c r="AE37" s="159"/>
      <c r="AF37" s="6"/>
      <c r="AG37" s="59"/>
      <c r="AH37" s="23"/>
      <c r="AI37" s="6"/>
      <c r="AJ37" s="6"/>
      <c r="AK37" s="6"/>
      <c r="AL37" s="101">
        <f>D37+E37+J37+N37+R37+W37-F37-K37-O37-S37-Y37</f>
        <v>0</v>
      </c>
    </row>
    <row r="38" spans="1:38" ht="38.25" x14ac:dyDescent="0.2">
      <c r="A38" s="16" t="s">
        <v>299</v>
      </c>
      <c r="B38" s="292"/>
      <c r="C38" s="159"/>
      <c r="D38" s="23"/>
      <c r="E38" s="23"/>
      <c r="F38" s="214"/>
      <c r="G38" s="23"/>
      <c r="H38" s="6"/>
      <c r="I38" s="6"/>
      <c r="J38" s="6"/>
      <c r="K38" s="59"/>
      <c r="L38" s="31"/>
      <c r="M38" s="7">
        <v>300</v>
      </c>
      <c r="N38" s="7"/>
      <c r="O38" s="32"/>
      <c r="P38" s="131"/>
      <c r="Q38" s="6">
        <v>75000</v>
      </c>
      <c r="R38" s="189"/>
      <c r="S38" s="59"/>
      <c r="T38" s="6"/>
      <c r="U38" s="23"/>
      <c r="V38" s="6">
        <v>15000</v>
      </c>
      <c r="W38" s="6"/>
      <c r="X38" s="6"/>
      <c r="Y38" s="6"/>
      <c r="Z38" s="24"/>
      <c r="AA38" s="159"/>
      <c r="AB38" s="6"/>
      <c r="AC38" s="24"/>
      <c r="AD38" s="159"/>
      <c r="AE38" s="159"/>
      <c r="AF38" s="6"/>
      <c r="AG38" s="59"/>
      <c r="AH38" s="23"/>
      <c r="AI38" s="6"/>
      <c r="AJ38" s="6"/>
      <c r="AK38" s="6"/>
      <c r="AL38" s="101">
        <f t="shared" ref="AL38:AL41" si="3">D38+E38+J38+N38+R38+W38-F38-K38-O38-S38-Y38</f>
        <v>0</v>
      </c>
    </row>
    <row r="39" spans="1:38" ht="38.25" x14ac:dyDescent="0.2">
      <c r="A39" s="16" t="s">
        <v>300</v>
      </c>
      <c r="B39" s="292"/>
      <c r="C39" s="159"/>
      <c r="D39" s="23"/>
      <c r="E39" s="23"/>
      <c r="F39" s="214"/>
      <c r="G39" s="23"/>
      <c r="H39" s="6"/>
      <c r="I39" s="6"/>
      <c r="J39" s="6"/>
      <c r="K39" s="59"/>
      <c r="L39" s="31"/>
      <c r="M39" s="7">
        <v>40000</v>
      </c>
      <c r="N39" s="7"/>
      <c r="O39" s="32"/>
      <c r="P39" s="131"/>
      <c r="Q39" s="6">
        <v>52000</v>
      </c>
      <c r="R39" s="189"/>
      <c r="S39" s="59"/>
      <c r="T39" s="6"/>
      <c r="U39" s="23"/>
      <c r="V39" s="6"/>
      <c r="W39" s="6"/>
      <c r="X39" s="6"/>
      <c r="Y39" s="6"/>
      <c r="Z39" s="24"/>
      <c r="AA39" s="159"/>
      <c r="AB39" s="6"/>
      <c r="AC39" s="24"/>
      <c r="AD39" s="159"/>
      <c r="AE39" s="159"/>
      <c r="AF39" s="6"/>
      <c r="AG39" s="59"/>
      <c r="AH39" s="23"/>
      <c r="AI39" s="6"/>
      <c r="AJ39" s="6"/>
      <c r="AK39" s="6"/>
      <c r="AL39" s="101">
        <f t="shared" si="3"/>
        <v>0</v>
      </c>
    </row>
    <row r="40" spans="1:38" ht="38.25" x14ac:dyDescent="0.2">
      <c r="A40" s="16" t="s">
        <v>301</v>
      </c>
      <c r="B40" s="292"/>
      <c r="C40" s="159"/>
      <c r="D40" s="23"/>
      <c r="E40" s="23"/>
      <c r="F40" s="214"/>
      <c r="G40" s="23"/>
      <c r="H40" s="6"/>
      <c r="I40" s="6"/>
      <c r="J40" s="6"/>
      <c r="K40" s="59"/>
      <c r="L40" s="31"/>
      <c r="M40" s="7">
        <v>41000</v>
      </c>
      <c r="N40" s="7"/>
      <c r="O40" s="32"/>
      <c r="P40" s="131"/>
      <c r="Q40" s="6">
        <v>0</v>
      </c>
      <c r="R40" s="189"/>
      <c r="S40" s="59"/>
      <c r="T40" s="6"/>
      <c r="U40" s="23"/>
      <c r="V40" s="6"/>
      <c r="W40" s="6"/>
      <c r="X40" s="6"/>
      <c r="Y40" s="6"/>
      <c r="Z40" s="24"/>
      <c r="AA40" s="159"/>
      <c r="AB40" s="6"/>
      <c r="AC40" s="24"/>
      <c r="AD40" s="159"/>
      <c r="AE40" s="159"/>
      <c r="AF40" s="6"/>
      <c r="AG40" s="59"/>
      <c r="AH40" s="23"/>
      <c r="AI40" s="6"/>
      <c r="AJ40" s="6"/>
      <c r="AK40" s="6"/>
      <c r="AL40" s="101">
        <f t="shared" si="3"/>
        <v>0</v>
      </c>
    </row>
    <row r="41" spans="1:38" ht="25.5" x14ac:dyDescent="0.2">
      <c r="A41" s="16" t="s">
        <v>302</v>
      </c>
      <c r="B41" s="292"/>
      <c r="C41" s="159"/>
      <c r="D41" s="23"/>
      <c r="E41" s="23"/>
      <c r="F41" s="214"/>
      <c r="G41" s="23"/>
      <c r="H41" s="6"/>
      <c r="I41" s="6"/>
      <c r="J41" s="6"/>
      <c r="K41" s="59"/>
      <c r="L41" s="31"/>
      <c r="M41" s="7">
        <v>60000</v>
      </c>
      <c r="N41" s="7"/>
      <c r="O41" s="32"/>
      <c r="P41" s="131"/>
      <c r="Q41" s="6">
        <v>0</v>
      </c>
      <c r="R41" s="189"/>
      <c r="S41" s="59"/>
      <c r="T41" s="6"/>
      <c r="U41" s="23"/>
      <c r="V41" s="6"/>
      <c r="W41" s="6"/>
      <c r="X41" s="6"/>
      <c r="Y41" s="6"/>
      <c r="Z41" s="24"/>
      <c r="AA41" s="159"/>
      <c r="AB41" s="6"/>
      <c r="AC41" s="24"/>
      <c r="AD41" s="159"/>
      <c r="AE41" s="159"/>
      <c r="AF41" s="6"/>
      <c r="AG41" s="59"/>
      <c r="AH41" s="23"/>
      <c r="AI41" s="6"/>
      <c r="AJ41" s="6"/>
      <c r="AK41" s="6"/>
      <c r="AL41" s="101">
        <f t="shared" si="3"/>
        <v>0</v>
      </c>
    </row>
    <row r="42" spans="1:38" s="8" customFormat="1" x14ac:dyDescent="0.2">
      <c r="A42" s="17" t="s">
        <v>31</v>
      </c>
      <c r="B42" s="289"/>
      <c r="C42" s="161">
        <f>SUM(C6:C41)</f>
        <v>0</v>
      </c>
      <c r="D42" s="161">
        <f t="shared" ref="D42:AK42" si="4">SUM(D6:D41)</f>
        <v>315732.48576000001</v>
      </c>
      <c r="E42" s="161">
        <f t="shared" si="4"/>
        <v>143427.81</v>
      </c>
      <c r="F42" s="161">
        <f t="shared" si="4"/>
        <v>206844.18</v>
      </c>
      <c r="G42" s="161">
        <f t="shared" si="4"/>
        <v>0</v>
      </c>
      <c r="H42" s="161">
        <f t="shared" si="4"/>
        <v>0</v>
      </c>
      <c r="I42" s="161">
        <f t="shared" si="4"/>
        <v>19105</v>
      </c>
      <c r="J42" s="161">
        <f t="shared" si="4"/>
        <v>220579.05000000002</v>
      </c>
      <c r="K42" s="161">
        <f t="shared" si="4"/>
        <v>287611.98</v>
      </c>
      <c r="L42" s="161">
        <f t="shared" si="4"/>
        <v>0</v>
      </c>
      <c r="M42" s="161">
        <f t="shared" si="4"/>
        <v>184300</v>
      </c>
      <c r="N42" s="161">
        <f t="shared" si="4"/>
        <v>440701</v>
      </c>
      <c r="O42" s="161">
        <f t="shared" si="4"/>
        <v>178322</v>
      </c>
      <c r="P42" s="161">
        <f t="shared" si="4"/>
        <v>0</v>
      </c>
      <c r="Q42" s="161">
        <f t="shared" si="4"/>
        <v>412171</v>
      </c>
      <c r="R42" s="161">
        <f t="shared" si="4"/>
        <v>313000</v>
      </c>
      <c r="S42" s="161">
        <f t="shared" si="4"/>
        <v>486374</v>
      </c>
      <c r="T42" s="161">
        <f t="shared" si="4"/>
        <v>0</v>
      </c>
      <c r="U42" s="161">
        <f t="shared" si="4"/>
        <v>0</v>
      </c>
      <c r="V42" s="161">
        <f t="shared" si="4"/>
        <v>17702</v>
      </c>
      <c r="W42" s="161">
        <f t="shared" si="4"/>
        <v>0</v>
      </c>
      <c r="X42" s="161">
        <f t="shared" si="4"/>
        <v>385000</v>
      </c>
      <c r="Y42" s="161">
        <f t="shared" si="4"/>
        <v>269700</v>
      </c>
      <c r="Z42" s="161">
        <f t="shared" si="4"/>
        <v>98300</v>
      </c>
      <c r="AA42" s="161">
        <f t="shared" si="4"/>
        <v>0</v>
      </c>
      <c r="AB42" s="161">
        <f t="shared" si="4"/>
        <v>275000</v>
      </c>
      <c r="AC42" s="161">
        <f t="shared" si="4"/>
        <v>435000</v>
      </c>
      <c r="AD42" s="161">
        <f t="shared" si="4"/>
        <v>0</v>
      </c>
      <c r="AE42" s="161">
        <f t="shared" si="4"/>
        <v>0</v>
      </c>
      <c r="AF42" s="161">
        <f t="shared" si="4"/>
        <v>223300</v>
      </c>
      <c r="AG42" s="161">
        <f t="shared" si="4"/>
        <v>321000</v>
      </c>
      <c r="AH42" s="161">
        <f t="shared" si="4"/>
        <v>0</v>
      </c>
      <c r="AI42" s="161">
        <f t="shared" si="4"/>
        <v>0</v>
      </c>
      <c r="AJ42" s="161">
        <f t="shared" si="4"/>
        <v>0</v>
      </c>
      <c r="AK42" s="161">
        <f t="shared" si="4"/>
        <v>115000</v>
      </c>
      <c r="AL42" s="101">
        <f t="shared" ref="AL42:AL58" si="5">D42+E42+J42+N42+R42+W42-F42-K42-O42-S42-Y42</f>
        <v>4588.1857600000221</v>
      </c>
    </row>
    <row r="43" spans="1:38" s="37" customFormat="1" x14ac:dyDescent="0.2">
      <c r="A43" s="130" t="s">
        <v>98</v>
      </c>
      <c r="B43" s="288"/>
      <c r="C43" s="146"/>
      <c r="D43" s="43"/>
      <c r="E43" s="43"/>
      <c r="F43" s="213"/>
      <c r="G43" s="43"/>
      <c r="H43" s="45"/>
      <c r="I43" s="45"/>
      <c r="J43" s="45"/>
      <c r="K43" s="58"/>
      <c r="L43" s="43"/>
      <c r="M43" s="45"/>
      <c r="N43" s="45">
        <v>0</v>
      </c>
      <c r="O43" s="46">
        <v>0</v>
      </c>
      <c r="P43" s="55"/>
      <c r="Q43" s="45"/>
      <c r="R43" s="55">
        <v>65700</v>
      </c>
      <c r="S43" s="58">
        <v>65700</v>
      </c>
      <c r="T43" s="45"/>
      <c r="U43" s="43"/>
      <c r="V43" s="45"/>
      <c r="W43" s="45"/>
      <c r="X43" s="45"/>
      <c r="Y43" s="45"/>
      <c r="Z43" s="46"/>
      <c r="AA43" s="146"/>
      <c r="AB43" s="45"/>
      <c r="AC43" s="46"/>
      <c r="AD43" s="146"/>
      <c r="AE43" s="146"/>
      <c r="AF43" s="45"/>
      <c r="AG43" s="58"/>
      <c r="AH43" s="43"/>
      <c r="AI43" s="45"/>
      <c r="AJ43" s="45"/>
      <c r="AK43" s="45"/>
      <c r="AL43" s="101">
        <f t="shared" si="5"/>
        <v>0</v>
      </c>
    </row>
    <row r="44" spans="1:38" s="37" customFormat="1" ht="25.5" x14ac:dyDescent="0.2">
      <c r="A44" s="130" t="s">
        <v>99</v>
      </c>
      <c r="B44" s="288"/>
      <c r="C44" s="146"/>
      <c r="D44" s="43"/>
      <c r="E44" s="43"/>
      <c r="F44" s="213"/>
      <c r="G44" s="43"/>
      <c r="H44" s="45"/>
      <c r="I44" s="45"/>
      <c r="J44" s="45"/>
      <c r="K44" s="58"/>
      <c r="L44" s="43"/>
      <c r="M44" s="45"/>
      <c r="N44" s="45">
        <v>0</v>
      </c>
      <c r="O44" s="46"/>
      <c r="P44" s="55"/>
      <c r="Q44" s="45"/>
      <c r="R44" s="55"/>
      <c r="S44" s="58"/>
      <c r="T44" s="45"/>
      <c r="U44" s="43"/>
      <c r="V44" s="45"/>
      <c r="W44" s="45"/>
      <c r="X44" s="45"/>
      <c r="Y44" s="45"/>
      <c r="Z44" s="46"/>
      <c r="AA44" s="146"/>
      <c r="AB44" s="45"/>
      <c r="AC44" s="46"/>
      <c r="AD44" s="146"/>
      <c r="AE44" s="146"/>
      <c r="AF44" s="45"/>
      <c r="AG44" s="58"/>
      <c r="AH44" s="43"/>
      <c r="AI44" s="45"/>
      <c r="AJ44" s="45"/>
      <c r="AK44" s="45"/>
      <c r="AL44" s="101">
        <f t="shared" si="5"/>
        <v>0</v>
      </c>
    </row>
    <row r="45" spans="1:38" s="37" customFormat="1" x14ac:dyDescent="0.2">
      <c r="A45" s="130" t="s">
        <v>100</v>
      </c>
      <c r="B45" s="288"/>
      <c r="C45" s="146"/>
      <c r="D45" s="43"/>
      <c r="E45" s="43"/>
      <c r="F45" s="213"/>
      <c r="G45" s="43"/>
      <c r="H45" s="45"/>
      <c r="I45" s="45"/>
      <c r="J45" s="45"/>
      <c r="K45" s="58"/>
      <c r="L45" s="43"/>
      <c r="M45" s="45"/>
      <c r="N45" s="45">
        <v>0</v>
      </c>
      <c r="O45" s="46">
        <f>20000+2000</f>
        <v>22000</v>
      </c>
      <c r="P45" s="55"/>
      <c r="Q45" s="45"/>
      <c r="R45" s="55">
        <v>84300</v>
      </c>
      <c r="S45" s="58">
        <f>64300-2000</f>
        <v>62300</v>
      </c>
      <c r="T45" s="45"/>
      <c r="U45" s="43"/>
      <c r="V45" s="45"/>
      <c r="W45" s="45"/>
      <c r="X45" s="45"/>
      <c r="Y45" s="45"/>
      <c r="Z45" s="46"/>
      <c r="AA45" s="146"/>
      <c r="AB45" s="45"/>
      <c r="AC45" s="46"/>
      <c r="AD45" s="146"/>
      <c r="AE45" s="146"/>
      <c r="AF45" s="45"/>
      <c r="AG45" s="58"/>
      <c r="AH45" s="43"/>
      <c r="AI45" s="45"/>
      <c r="AJ45" s="45"/>
      <c r="AK45" s="45"/>
      <c r="AL45" s="101">
        <f t="shared" si="5"/>
        <v>0</v>
      </c>
    </row>
    <row r="46" spans="1:38" x14ac:dyDescent="0.2">
      <c r="A46" s="130" t="s">
        <v>92</v>
      </c>
      <c r="B46" s="288"/>
      <c r="C46" s="159"/>
      <c r="D46" s="23"/>
      <c r="E46" s="23"/>
      <c r="F46" s="214"/>
      <c r="G46" s="23"/>
      <c r="H46" s="6"/>
      <c r="I46" s="6"/>
      <c r="J46" s="6"/>
      <c r="K46" s="59"/>
      <c r="L46" s="23"/>
      <c r="M46" s="6"/>
      <c r="N46" s="6"/>
      <c r="O46" s="24"/>
      <c r="P46" s="56"/>
      <c r="Q46" s="6"/>
      <c r="R46" s="56">
        <v>55000</v>
      </c>
      <c r="S46" s="59"/>
      <c r="T46" s="6"/>
      <c r="U46" s="23"/>
      <c r="V46" s="6"/>
      <c r="W46" s="6"/>
      <c r="X46" s="6">
        <v>97500</v>
      </c>
      <c r="Y46" s="6">
        <v>55000</v>
      </c>
      <c r="Z46" s="24"/>
      <c r="AA46" s="159"/>
      <c r="AB46" s="6"/>
      <c r="AC46" s="24">
        <v>97500</v>
      </c>
      <c r="AD46" s="159"/>
      <c r="AE46" s="159"/>
      <c r="AF46" s="6"/>
      <c r="AG46" s="59"/>
      <c r="AH46" s="23"/>
      <c r="AI46" s="6"/>
      <c r="AJ46" s="6"/>
      <c r="AK46" s="6"/>
      <c r="AL46" s="101">
        <f t="shared" si="5"/>
        <v>0</v>
      </c>
    </row>
    <row r="47" spans="1:38" s="8" customFormat="1" x14ac:dyDescent="0.2">
      <c r="A47" s="17" t="s">
        <v>93</v>
      </c>
      <c r="B47" s="289"/>
      <c r="C47" s="161">
        <f t="shared" ref="C47:T47" si="6">SUM(C43:C46)</f>
        <v>0</v>
      </c>
      <c r="D47" s="25">
        <f t="shared" si="6"/>
        <v>0</v>
      </c>
      <c r="E47" s="25">
        <f t="shared" si="6"/>
        <v>0</v>
      </c>
      <c r="F47" s="142">
        <f t="shared" si="6"/>
        <v>0</v>
      </c>
      <c r="G47" s="199">
        <f t="shared" si="6"/>
        <v>0</v>
      </c>
      <c r="H47" s="191">
        <f t="shared" si="6"/>
        <v>0</v>
      </c>
      <c r="I47" s="191">
        <f t="shared" si="6"/>
        <v>0</v>
      </c>
      <c r="J47" s="191">
        <f t="shared" si="6"/>
        <v>0</v>
      </c>
      <c r="K47" s="218">
        <f t="shared" si="6"/>
        <v>0</v>
      </c>
      <c r="L47" s="199">
        <f t="shared" si="6"/>
        <v>0</v>
      </c>
      <c r="M47" s="191">
        <f t="shared" si="6"/>
        <v>0</v>
      </c>
      <c r="N47" s="191">
        <f t="shared" si="6"/>
        <v>0</v>
      </c>
      <c r="O47" s="200">
        <f t="shared" si="6"/>
        <v>22000</v>
      </c>
      <c r="P47" s="200">
        <f t="shared" si="6"/>
        <v>0</v>
      </c>
      <c r="Q47" s="191">
        <f t="shared" si="6"/>
        <v>0</v>
      </c>
      <c r="R47" s="15">
        <f t="shared" si="6"/>
        <v>205000</v>
      </c>
      <c r="S47" s="60">
        <f t="shared" si="6"/>
        <v>128000</v>
      </c>
      <c r="T47" s="60">
        <f t="shared" si="6"/>
        <v>0</v>
      </c>
      <c r="U47" s="199"/>
      <c r="V47" s="191">
        <f>SUM(V43:V46)</f>
        <v>0</v>
      </c>
      <c r="W47" s="191">
        <f>SUM(W43:W46)</f>
        <v>0</v>
      </c>
      <c r="X47" s="191">
        <f>SUM(X43:X46)</f>
        <v>97500</v>
      </c>
      <c r="Y47" s="191">
        <f>SUM(Y43:Y46)</f>
        <v>55000</v>
      </c>
      <c r="Z47" s="200">
        <f>SUM(Z43:Z46)</f>
        <v>0</v>
      </c>
      <c r="AA47" s="205"/>
      <c r="AB47" s="191">
        <f t="shared" ref="AB47:AK47" si="7">SUM(AB43:AB46)</f>
        <v>0</v>
      </c>
      <c r="AC47" s="200">
        <f t="shared" si="7"/>
        <v>97500</v>
      </c>
      <c r="AD47" s="205"/>
      <c r="AE47" s="15">
        <f t="shared" si="7"/>
        <v>0</v>
      </c>
      <c r="AF47" s="15">
        <f t="shared" si="7"/>
        <v>0</v>
      </c>
      <c r="AG47" s="15">
        <f t="shared" si="7"/>
        <v>0</v>
      </c>
      <c r="AH47" s="199"/>
      <c r="AI47" s="322">
        <f t="shared" si="7"/>
        <v>0</v>
      </c>
      <c r="AJ47" s="322">
        <f t="shared" si="7"/>
        <v>0</v>
      </c>
      <c r="AK47" s="324">
        <f t="shared" si="7"/>
        <v>0</v>
      </c>
      <c r="AL47" s="101">
        <f t="shared" si="5"/>
        <v>0</v>
      </c>
    </row>
    <row r="48" spans="1:38" s="37" customFormat="1" ht="25.5" x14ac:dyDescent="0.2">
      <c r="A48" s="280" t="s">
        <v>101</v>
      </c>
      <c r="B48" s="290" t="s">
        <v>264</v>
      </c>
      <c r="C48" s="146"/>
      <c r="D48" s="43"/>
      <c r="E48" s="43">
        <v>9288.98</v>
      </c>
      <c r="F48" s="213">
        <v>0</v>
      </c>
      <c r="G48" s="43"/>
      <c r="H48" s="44"/>
      <c r="I48" s="45"/>
      <c r="J48" s="45">
        <v>247.28</v>
      </c>
      <c r="K48" s="58">
        <f>8965+525.67</f>
        <v>9490.67</v>
      </c>
      <c r="L48" s="43"/>
      <c r="M48" s="45"/>
      <c r="N48" s="45"/>
      <c r="O48" s="46"/>
      <c r="P48" s="55"/>
      <c r="Q48" s="45"/>
      <c r="R48" s="55"/>
      <c r="S48" s="58"/>
      <c r="T48" s="45"/>
      <c r="U48" s="43"/>
      <c r="V48" s="45"/>
      <c r="W48" s="45"/>
      <c r="X48" s="45"/>
      <c r="Y48" s="45"/>
      <c r="Z48" s="46"/>
      <c r="AA48" s="146"/>
      <c r="AB48" s="45"/>
      <c r="AC48" s="46"/>
      <c r="AD48" s="146"/>
      <c r="AE48" s="146"/>
      <c r="AF48" s="45"/>
      <c r="AG48" s="58"/>
      <c r="AH48" s="43"/>
      <c r="AI48" s="45"/>
      <c r="AJ48" s="45"/>
      <c r="AK48" s="45"/>
      <c r="AL48" s="101">
        <f t="shared" si="5"/>
        <v>45.590000000000146</v>
      </c>
    </row>
    <row r="49" spans="1:38" s="37" customFormat="1" x14ac:dyDescent="0.2">
      <c r="A49" s="280" t="s">
        <v>61</v>
      </c>
      <c r="B49" s="290" t="s">
        <v>265</v>
      </c>
      <c r="C49" s="146"/>
      <c r="D49" s="43">
        <v>9399.1217199999992</v>
      </c>
      <c r="E49" s="43">
        <v>3466.25</v>
      </c>
      <c r="F49" s="213"/>
      <c r="G49" s="43"/>
      <c r="H49" s="44"/>
      <c r="I49" s="45"/>
      <c r="J49" s="45">
        <v>5582.49</v>
      </c>
      <c r="K49" s="58">
        <v>18447.86</v>
      </c>
      <c r="L49" s="43"/>
      <c r="M49" s="45"/>
      <c r="N49" s="45"/>
      <c r="O49" s="46"/>
      <c r="P49" s="55"/>
      <c r="Q49" s="45"/>
      <c r="R49" s="55"/>
      <c r="S49" s="58"/>
      <c r="T49" s="45"/>
      <c r="U49" s="43"/>
      <c r="V49" s="45"/>
      <c r="W49" s="45"/>
      <c r="X49" s="45"/>
      <c r="Y49" s="45"/>
      <c r="Z49" s="46"/>
      <c r="AA49" s="146"/>
      <c r="AB49" s="45"/>
      <c r="AC49" s="46"/>
      <c r="AD49" s="146"/>
      <c r="AE49" s="146"/>
      <c r="AF49" s="45"/>
      <c r="AG49" s="58"/>
      <c r="AH49" s="43"/>
      <c r="AI49" s="45"/>
      <c r="AJ49" s="45"/>
      <c r="AK49" s="45"/>
      <c r="AL49" s="101">
        <f t="shared" si="5"/>
        <v>1.720000000204891E-3</v>
      </c>
    </row>
    <row r="50" spans="1:38" s="37" customFormat="1" x14ac:dyDescent="0.2">
      <c r="A50" s="128" t="s">
        <v>62</v>
      </c>
      <c r="B50" s="288"/>
      <c r="C50" s="146"/>
      <c r="D50" s="43">
        <v>14752.691030000002</v>
      </c>
      <c r="E50" s="43">
        <v>8810.76</v>
      </c>
      <c r="F50" s="213">
        <v>289.41000000000003</v>
      </c>
      <c r="G50" s="43"/>
      <c r="H50" s="44"/>
      <c r="I50" s="45"/>
      <c r="J50" s="45"/>
      <c r="K50" s="58">
        <v>23274.1</v>
      </c>
      <c r="L50" s="43"/>
      <c r="M50" s="45"/>
      <c r="N50" s="45"/>
      <c r="O50" s="46"/>
      <c r="P50" s="55"/>
      <c r="Q50" s="45"/>
      <c r="R50" s="55"/>
      <c r="S50" s="58"/>
      <c r="T50" s="45"/>
      <c r="U50" s="43"/>
      <c r="V50" s="45"/>
      <c r="W50" s="45"/>
      <c r="X50" s="45"/>
      <c r="Y50" s="45"/>
      <c r="Z50" s="46"/>
      <c r="AA50" s="146"/>
      <c r="AB50" s="45"/>
      <c r="AC50" s="46"/>
      <c r="AD50" s="146"/>
      <c r="AE50" s="146"/>
      <c r="AF50" s="45"/>
      <c r="AG50" s="58"/>
      <c r="AH50" s="43"/>
      <c r="AI50" s="45"/>
      <c r="AJ50" s="45"/>
      <c r="AK50" s="45"/>
      <c r="AL50" s="101">
        <f t="shared" si="5"/>
        <v>-5.8969999994587852E-2</v>
      </c>
    </row>
    <row r="51" spans="1:38" s="37" customFormat="1" x14ac:dyDescent="0.2">
      <c r="A51" s="128" t="s">
        <v>63</v>
      </c>
      <c r="B51" s="288"/>
      <c r="C51" s="146"/>
      <c r="D51" s="43">
        <v>21763.88624</v>
      </c>
      <c r="E51" s="43"/>
      <c r="F51" s="213">
        <v>21763.89</v>
      </c>
      <c r="G51" s="43"/>
      <c r="H51" s="44"/>
      <c r="I51" s="45"/>
      <c r="J51" s="45"/>
      <c r="K51" s="58"/>
      <c r="L51" s="43"/>
      <c r="M51" s="45"/>
      <c r="N51" s="45"/>
      <c r="O51" s="46"/>
      <c r="P51" s="55"/>
      <c r="Q51" s="45"/>
      <c r="R51" s="55"/>
      <c r="S51" s="58"/>
      <c r="T51" s="45"/>
      <c r="U51" s="43"/>
      <c r="V51" s="45"/>
      <c r="W51" s="45"/>
      <c r="X51" s="45"/>
      <c r="Y51" s="45"/>
      <c r="Z51" s="46"/>
      <c r="AA51" s="146"/>
      <c r="AB51" s="45"/>
      <c r="AC51" s="46"/>
      <c r="AD51" s="146"/>
      <c r="AE51" s="146"/>
      <c r="AF51" s="45"/>
      <c r="AG51" s="58"/>
      <c r="AH51" s="43"/>
      <c r="AI51" s="45"/>
      <c r="AJ51" s="45"/>
      <c r="AK51" s="45"/>
      <c r="AL51" s="101">
        <f t="shared" si="5"/>
        <v>-3.7599999996018596E-3</v>
      </c>
    </row>
    <row r="52" spans="1:38" s="37" customFormat="1" ht="25.5" x14ac:dyDescent="0.2">
      <c r="A52" s="128" t="s">
        <v>64</v>
      </c>
      <c r="B52" s="288"/>
      <c r="C52" s="146"/>
      <c r="D52" s="43">
        <v>53656.974830000006</v>
      </c>
      <c r="E52" s="43">
        <v>22429.23</v>
      </c>
      <c r="F52" s="213">
        <v>76086.210000000006</v>
      </c>
      <c r="G52" s="43"/>
      <c r="H52" s="44"/>
      <c r="I52" s="45"/>
      <c r="J52" s="45"/>
      <c r="K52" s="58"/>
      <c r="L52" s="43"/>
      <c r="M52" s="45"/>
      <c r="N52" s="45"/>
      <c r="O52" s="46"/>
      <c r="P52" s="55"/>
      <c r="Q52" s="45"/>
      <c r="R52" s="55"/>
      <c r="S52" s="58"/>
      <c r="T52" s="45"/>
      <c r="U52" s="43"/>
      <c r="V52" s="45"/>
      <c r="W52" s="45"/>
      <c r="X52" s="45"/>
      <c r="Y52" s="45"/>
      <c r="Z52" s="46"/>
      <c r="AA52" s="146"/>
      <c r="AB52" s="45"/>
      <c r="AC52" s="46"/>
      <c r="AD52" s="146"/>
      <c r="AE52" s="146"/>
      <c r="AF52" s="45"/>
      <c r="AG52" s="58"/>
      <c r="AH52" s="43"/>
      <c r="AI52" s="45"/>
      <c r="AJ52" s="45"/>
      <c r="AK52" s="45"/>
      <c r="AL52" s="101">
        <f t="shared" si="5"/>
        <v>-5.1700000040000305E-3</v>
      </c>
    </row>
    <row r="53" spans="1:38" s="37" customFormat="1" x14ac:dyDescent="0.2">
      <c r="A53" s="280" t="s">
        <v>65</v>
      </c>
      <c r="B53" s="290" t="s">
        <v>267</v>
      </c>
      <c r="C53" s="146"/>
      <c r="D53" s="43">
        <v>18168.2389</v>
      </c>
      <c r="E53" s="43">
        <v>64478.93</v>
      </c>
      <c r="F53" s="213"/>
      <c r="G53" s="43"/>
      <c r="H53" s="44">
        <v>13.86</v>
      </c>
      <c r="I53" s="45"/>
      <c r="J53" s="45">
        <v>14467.53</v>
      </c>
      <c r="K53" s="58">
        <f>97114.7+13.86</f>
        <v>97128.56</v>
      </c>
      <c r="L53" s="43"/>
      <c r="M53" s="45"/>
      <c r="N53" s="45"/>
      <c r="O53" s="46"/>
      <c r="P53" s="55"/>
      <c r="Q53" s="45"/>
      <c r="R53" s="55"/>
      <c r="S53" s="58"/>
      <c r="T53" s="45"/>
      <c r="U53" s="43"/>
      <c r="V53" s="45"/>
      <c r="W53" s="45"/>
      <c r="X53" s="45"/>
      <c r="Y53" s="45"/>
      <c r="Z53" s="46"/>
      <c r="AA53" s="146"/>
      <c r="AB53" s="45"/>
      <c r="AC53" s="46"/>
      <c r="AD53" s="146"/>
      <c r="AE53" s="146"/>
      <c r="AF53" s="45"/>
      <c r="AG53" s="58"/>
      <c r="AH53" s="43"/>
      <c r="AI53" s="45"/>
      <c r="AJ53" s="45"/>
      <c r="AK53" s="45"/>
      <c r="AL53" s="101">
        <f t="shared" si="5"/>
        <v>-13.861099999994622</v>
      </c>
    </row>
    <row r="54" spans="1:38" s="37" customFormat="1" x14ac:dyDescent="0.2">
      <c r="A54" s="128" t="s">
        <v>66</v>
      </c>
      <c r="B54" s="288"/>
      <c r="C54" s="146"/>
      <c r="D54" s="43"/>
      <c r="E54" s="43"/>
      <c r="F54" s="213"/>
      <c r="G54" s="43"/>
      <c r="H54" s="44"/>
      <c r="I54" s="45"/>
      <c r="J54" s="45"/>
      <c r="K54" s="58"/>
      <c r="L54" s="43"/>
      <c r="M54" s="45"/>
      <c r="N54" s="45"/>
      <c r="O54" s="46"/>
      <c r="P54" s="55"/>
      <c r="Q54" s="45"/>
      <c r="R54" s="55"/>
      <c r="S54" s="58"/>
      <c r="T54" s="45"/>
      <c r="U54" s="43"/>
      <c r="V54" s="45"/>
      <c r="W54" s="45"/>
      <c r="X54" s="45"/>
      <c r="Y54" s="45"/>
      <c r="Z54" s="46"/>
      <c r="AA54" s="146"/>
      <c r="AB54" s="45"/>
      <c r="AC54" s="46"/>
      <c r="AD54" s="146"/>
      <c r="AE54" s="146"/>
      <c r="AF54" s="45"/>
      <c r="AG54" s="58"/>
      <c r="AH54" s="43"/>
      <c r="AI54" s="45"/>
      <c r="AJ54" s="45"/>
      <c r="AK54" s="45"/>
      <c r="AL54" s="101">
        <f t="shared" si="5"/>
        <v>0</v>
      </c>
    </row>
    <row r="55" spans="1:38" s="37" customFormat="1" x14ac:dyDescent="0.2">
      <c r="A55" s="280" t="s">
        <v>67</v>
      </c>
      <c r="B55" s="290" t="s">
        <v>263</v>
      </c>
      <c r="C55" s="146"/>
      <c r="D55" s="43"/>
      <c r="E55" s="43"/>
      <c r="F55" s="213"/>
      <c r="G55" s="43"/>
      <c r="H55" s="44"/>
      <c r="I55" s="45"/>
      <c r="J55" s="45">
        <v>76</v>
      </c>
      <c r="K55" s="58"/>
      <c r="L55" s="43"/>
      <c r="M55" s="45"/>
      <c r="N55" s="45">
        <v>16540</v>
      </c>
      <c r="O55" s="46">
        <v>0</v>
      </c>
      <c r="P55" s="55"/>
      <c r="Q55" s="45"/>
      <c r="R55" s="55"/>
      <c r="S55" s="58">
        <v>16540</v>
      </c>
      <c r="T55" s="45"/>
      <c r="U55" s="43"/>
      <c r="V55" s="45"/>
      <c r="W55" s="45"/>
      <c r="X55" s="45"/>
      <c r="Y55" s="45"/>
      <c r="Z55" s="46"/>
      <c r="AA55" s="146"/>
      <c r="AB55" s="45"/>
      <c r="AC55" s="46"/>
      <c r="AD55" s="146"/>
      <c r="AE55" s="146"/>
      <c r="AF55" s="45"/>
      <c r="AG55" s="58"/>
      <c r="AH55" s="43"/>
      <c r="AI55" s="45"/>
      <c r="AJ55" s="45"/>
      <c r="AK55" s="45"/>
      <c r="AL55" s="101">
        <f t="shared" si="5"/>
        <v>76</v>
      </c>
    </row>
    <row r="56" spans="1:38" s="37" customFormat="1" ht="25.5" x14ac:dyDescent="0.2">
      <c r="A56" s="280" t="s">
        <v>68</v>
      </c>
      <c r="B56" s="290" t="s">
        <v>262</v>
      </c>
      <c r="C56" s="146"/>
      <c r="D56" s="43"/>
      <c r="E56" s="43">
        <v>1576.58</v>
      </c>
      <c r="F56" s="213"/>
      <c r="G56" s="43"/>
      <c r="H56" s="44">
        <v>78.94</v>
      </c>
      <c r="I56" s="45"/>
      <c r="J56" s="45">
        <f>25165.53</f>
        <v>25165.53</v>
      </c>
      <c r="K56" s="44">
        <v>78.94</v>
      </c>
      <c r="L56" s="43"/>
      <c r="M56" s="45"/>
      <c r="N56" s="45">
        <v>10269</v>
      </c>
      <c r="O56" s="46">
        <v>37011</v>
      </c>
      <c r="P56" s="55"/>
      <c r="Q56" s="45"/>
      <c r="R56" s="55"/>
      <c r="S56" s="58"/>
      <c r="T56" s="45"/>
      <c r="U56" s="43"/>
      <c r="V56" s="45"/>
      <c r="W56" s="45"/>
      <c r="X56" s="45"/>
      <c r="Y56" s="45"/>
      <c r="Z56" s="46"/>
      <c r="AA56" s="146"/>
      <c r="AB56" s="45"/>
      <c r="AC56" s="46"/>
      <c r="AD56" s="146"/>
      <c r="AE56" s="146"/>
      <c r="AF56" s="45"/>
      <c r="AG56" s="58"/>
      <c r="AH56" s="43"/>
      <c r="AI56" s="45"/>
      <c r="AJ56" s="45"/>
      <c r="AK56" s="45"/>
      <c r="AL56" s="101">
        <f t="shared" si="5"/>
        <v>-78.830000000001746</v>
      </c>
    </row>
    <row r="57" spans="1:38" ht="28.5" customHeight="1" x14ac:dyDescent="0.2">
      <c r="A57" s="244" t="s">
        <v>237</v>
      </c>
      <c r="B57" s="293"/>
      <c r="C57" s="285"/>
      <c r="D57" s="27"/>
      <c r="E57" s="27"/>
      <c r="F57" s="215"/>
      <c r="G57" s="27">
        <v>37193.040000000001</v>
      </c>
      <c r="H57" s="11"/>
      <c r="I57" s="129"/>
      <c r="J57" s="11"/>
      <c r="K57" s="61"/>
      <c r="L57" s="245">
        <v>17174</v>
      </c>
      <c r="M57" s="129"/>
      <c r="N57" s="246">
        <v>0</v>
      </c>
      <c r="O57" s="33"/>
      <c r="P57" s="65"/>
      <c r="Q57" s="12"/>
      <c r="R57" s="247"/>
      <c r="S57" s="248"/>
      <c r="T57" s="45"/>
      <c r="U57" s="36"/>
      <c r="V57" s="45"/>
      <c r="W57" s="45"/>
      <c r="X57" s="45"/>
      <c r="Y57" s="246"/>
      <c r="Z57" s="249"/>
      <c r="AA57" s="146"/>
      <c r="AB57" s="246"/>
      <c r="AC57" s="249"/>
      <c r="AD57" s="146"/>
      <c r="AE57" s="146"/>
      <c r="AF57" s="246"/>
      <c r="AG57" s="248"/>
      <c r="AH57" s="43"/>
      <c r="AI57" s="246"/>
      <c r="AJ57" s="246"/>
      <c r="AK57" s="246"/>
      <c r="AL57" s="101">
        <f t="shared" si="5"/>
        <v>0</v>
      </c>
    </row>
    <row r="58" spans="1:38" ht="28.5" customHeight="1" x14ac:dyDescent="0.2">
      <c r="A58" s="244" t="s">
        <v>205</v>
      </c>
      <c r="B58" s="293"/>
      <c r="C58" s="285"/>
      <c r="D58" s="27"/>
      <c r="E58" s="27"/>
      <c r="F58" s="215"/>
      <c r="G58" s="27"/>
      <c r="H58" s="11"/>
      <c r="I58" s="129"/>
      <c r="J58" s="11"/>
      <c r="K58" s="61"/>
      <c r="L58" s="245">
        <v>5400</v>
      </c>
      <c r="M58" s="129"/>
      <c r="N58" s="246">
        <v>30000</v>
      </c>
      <c r="O58" s="33"/>
      <c r="P58" s="245">
        <v>52800</v>
      </c>
      <c r="Q58" s="12"/>
      <c r="R58" s="247">
        <v>297925</v>
      </c>
      <c r="S58" s="248">
        <v>30000</v>
      </c>
      <c r="T58" s="45"/>
      <c r="U58" s="36">
        <v>75900</v>
      </c>
      <c r="V58" s="45"/>
      <c r="W58" s="45"/>
      <c r="X58" s="45">
        <v>428825</v>
      </c>
      <c r="Y58" s="246">
        <v>297925</v>
      </c>
      <c r="Z58" s="249"/>
      <c r="AA58" s="146">
        <v>85200</v>
      </c>
      <c r="AB58" s="246">
        <v>481525</v>
      </c>
      <c r="AC58" s="249">
        <v>428825</v>
      </c>
      <c r="AD58" s="146">
        <v>70169</v>
      </c>
      <c r="AE58" s="146"/>
      <c r="AF58" s="246">
        <v>395927</v>
      </c>
      <c r="AG58" s="248">
        <v>481525</v>
      </c>
      <c r="AH58" s="43">
        <v>300</v>
      </c>
      <c r="AI58" s="246"/>
      <c r="AJ58" s="246"/>
      <c r="AK58" s="246">
        <v>397800</v>
      </c>
      <c r="AL58" s="101">
        <f t="shared" si="5"/>
        <v>0</v>
      </c>
    </row>
    <row r="59" spans="1:38" x14ac:dyDescent="0.2">
      <c r="A59" s="16" t="s">
        <v>253</v>
      </c>
      <c r="B59" s="292"/>
      <c r="C59" s="159"/>
      <c r="D59" s="23"/>
      <c r="E59" s="23"/>
      <c r="F59" s="214"/>
      <c r="G59" s="23"/>
      <c r="H59" s="6"/>
      <c r="I59" s="6"/>
      <c r="J59" s="6"/>
      <c r="K59" s="59"/>
      <c r="L59" s="47"/>
      <c r="M59" s="9"/>
      <c r="N59" s="9"/>
      <c r="O59" s="34"/>
      <c r="P59" s="186"/>
      <c r="Q59" s="6"/>
      <c r="R59" s="56"/>
      <c r="S59" s="59"/>
      <c r="T59" s="6"/>
      <c r="U59" s="23"/>
      <c r="V59" s="6"/>
      <c r="W59" s="6"/>
      <c r="X59" s="6">
        <v>19550</v>
      </c>
      <c r="Y59" s="6"/>
      <c r="Z59" s="24">
        <v>4000</v>
      </c>
      <c r="AA59" s="159"/>
      <c r="AB59" s="6">
        <v>41225</v>
      </c>
      <c r="AC59" s="24">
        <v>30550</v>
      </c>
      <c r="AD59" s="159"/>
      <c r="AE59" s="159"/>
      <c r="AF59" s="6"/>
      <c r="AG59" s="59">
        <v>26225</v>
      </c>
      <c r="AH59" s="23"/>
      <c r="AI59" s="6"/>
      <c r="AJ59" s="6"/>
      <c r="AK59" s="6"/>
      <c r="AL59" s="101"/>
    </row>
    <row r="60" spans="1:38" x14ac:dyDescent="0.2">
      <c r="A60" s="16" t="s">
        <v>254</v>
      </c>
      <c r="B60" s="292"/>
      <c r="C60" s="159"/>
      <c r="D60" s="23"/>
      <c r="E60" s="23"/>
      <c r="F60" s="214"/>
      <c r="G60" s="23"/>
      <c r="H60" s="6"/>
      <c r="I60" s="6"/>
      <c r="J60" s="6"/>
      <c r="K60" s="59"/>
      <c r="L60" s="47"/>
      <c r="M60" s="9"/>
      <c r="N60" s="9"/>
      <c r="O60" s="34"/>
      <c r="P60" s="186"/>
      <c r="Q60" s="6"/>
      <c r="R60" s="56"/>
      <c r="S60" s="59"/>
      <c r="T60" s="6"/>
      <c r="U60" s="23"/>
      <c r="V60" s="6"/>
      <c r="W60" s="6"/>
      <c r="X60" s="6">
        <v>27200</v>
      </c>
      <c r="Y60" s="6"/>
      <c r="Z60" s="24">
        <v>8000</v>
      </c>
      <c r="AA60" s="159"/>
      <c r="AB60" s="6">
        <v>71400</v>
      </c>
      <c r="AC60" s="24">
        <v>62000</v>
      </c>
      <c r="AD60" s="159"/>
      <c r="AE60" s="159"/>
      <c r="AF60" s="6">
        <v>19125</v>
      </c>
      <c r="AG60" s="59">
        <v>47725</v>
      </c>
      <c r="AH60" s="23"/>
      <c r="AI60" s="6"/>
      <c r="AJ60" s="6"/>
      <c r="AK60" s="6"/>
      <c r="AL60" s="101"/>
    </row>
    <row r="61" spans="1:38" s="37" customFormat="1" x14ac:dyDescent="0.2">
      <c r="A61" s="38" t="s">
        <v>255</v>
      </c>
      <c r="B61" s="291"/>
      <c r="C61" s="146"/>
      <c r="D61" s="43"/>
      <c r="E61" s="43"/>
      <c r="F61" s="213"/>
      <c r="G61" s="43"/>
      <c r="H61" s="6"/>
      <c r="I61" s="45"/>
      <c r="J61" s="45"/>
      <c r="K61" s="58"/>
      <c r="L61" s="43"/>
      <c r="M61" s="45"/>
      <c r="N61" s="45"/>
      <c r="O61" s="46"/>
      <c r="P61" s="55"/>
      <c r="Q61" s="45"/>
      <c r="R61" s="55"/>
      <c r="S61" s="58"/>
      <c r="T61" s="45"/>
      <c r="U61" s="43"/>
      <c r="V61" s="45"/>
      <c r="W61" s="45"/>
      <c r="X61" s="45">
        <v>25250</v>
      </c>
      <c r="Y61" s="45"/>
      <c r="Z61" s="46">
        <v>14050</v>
      </c>
      <c r="AA61" s="146"/>
      <c r="AB61" s="45">
        <v>40150</v>
      </c>
      <c r="AC61" s="46">
        <v>48200</v>
      </c>
      <c r="AD61" s="146"/>
      <c r="AE61" s="146"/>
      <c r="AF61" s="45"/>
      <c r="AG61" s="58">
        <v>3150</v>
      </c>
      <c r="AH61" s="43"/>
      <c r="AI61" s="45"/>
      <c r="AJ61" s="45"/>
      <c r="AK61" s="45"/>
      <c r="AL61" s="101">
        <f t="shared" ref="AL61:AL69" si="8">D61+E61+J61+N61+R61+W61-F61-K61-O61-S61-Y61</f>
        <v>0</v>
      </c>
    </row>
    <row r="62" spans="1:38" x14ac:dyDescent="0.2">
      <c r="A62" s="16" t="s">
        <v>2</v>
      </c>
      <c r="B62" s="292"/>
      <c r="C62" s="159"/>
      <c r="D62" s="23"/>
      <c r="E62" s="23"/>
      <c r="F62" s="214"/>
      <c r="G62" s="23">
        <v>0</v>
      </c>
      <c r="H62" s="6"/>
      <c r="I62" s="6">
        <v>0</v>
      </c>
      <c r="J62" s="6"/>
      <c r="K62" s="59"/>
      <c r="L62" s="47"/>
      <c r="M62" s="9">
        <v>0</v>
      </c>
      <c r="N62" s="9"/>
      <c r="O62" s="34"/>
      <c r="P62" s="186"/>
      <c r="Q62" s="6">
        <v>0</v>
      </c>
      <c r="R62" s="56"/>
      <c r="S62" s="59"/>
      <c r="T62" s="6"/>
      <c r="U62" s="23"/>
      <c r="V62" s="6">
        <v>0</v>
      </c>
      <c r="W62" s="6"/>
      <c r="X62" s="6"/>
      <c r="Y62" s="6"/>
      <c r="Z62" s="24"/>
      <c r="AA62" s="159"/>
      <c r="AB62" s="6"/>
      <c r="AC62" s="24"/>
      <c r="AD62" s="159"/>
      <c r="AE62" s="159"/>
      <c r="AF62" s="6"/>
      <c r="AG62" s="59"/>
      <c r="AH62" s="23"/>
      <c r="AI62" s="6"/>
      <c r="AJ62" s="6"/>
      <c r="AK62" s="6"/>
      <c r="AL62" s="101">
        <f t="shared" si="8"/>
        <v>0</v>
      </c>
    </row>
    <row r="63" spans="1:38" x14ac:dyDescent="0.2">
      <c r="A63" s="16" t="s">
        <v>3</v>
      </c>
      <c r="B63" s="292"/>
      <c r="C63" s="159"/>
      <c r="D63" s="23"/>
      <c r="E63" s="23"/>
      <c r="F63" s="214"/>
      <c r="G63" s="23"/>
      <c r="H63" s="6"/>
      <c r="I63" s="6">
        <v>615</v>
      </c>
      <c r="J63" s="6"/>
      <c r="K63" s="59"/>
      <c r="L63" s="47"/>
      <c r="M63" s="7">
        <v>40400</v>
      </c>
      <c r="N63" s="7"/>
      <c r="O63" s="32"/>
      <c r="P63" s="131"/>
      <c r="Q63" s="6">
        <v>10000</v>
      </c>
      <c r="R63" s="56"/>
      <c r="S63" s="59"/>
      <c r="T63" s="6"/>
      <c r="U63" s="23"/>
      <c r="V63" s="6"/>
      <c r="W63" s="6"/>
      <c r="X63" s="6"/>
      <c r="Y63" s="6"/>
      <c r="Z63" s="24"/>
      <c r="AA63" s="159"/>
      <c r="AB63" s="6"/>
      <c r="AC63" s="24"/>
      <c r="AD63" s="159"/>
      <c r="AE63" s="159"/>
      <c r="AF63" s="6"/>
      <c r="AG63" s="59"/>
      <c r="AH63" s="23"/>
      <c r="AI63" s="6"/>
      <c r="AJ63" s="6"/>
      <c r="AK63" s="6"/>
      <c r="AL63" s="101">
        <f t="shared" si="8"/>
        <v>0</v>
      </c>
    </row>
    <row r="64" spans="1:38" x14ac:dyDescent="0.2">
      <c r="A64" s="16" t="s">
        <v>4</v>
      </c>
      <c r="B64" s="292"/>
      <c r="C64" s="159"/>
      <c r="D64" s="23"/>
      <c r="E64" s="23"/>
      <c r="F64" s="214"/>
      <c r="G64" s="23"/>
      <c r="H64" s="6"/>
      <c r="I64" s="6">
        <v>375</v>
      </c>
      <c r="J64" s="6"/>
      <c r="K64" s="59"/>
      <c r="L64" s="47"/>
      <c r="M64" s="7">
        <v>20000</v>
      </c>
      <c r="N64" s="7"/>
      <c r="O64" s="32"/>
      <c r="P64" s="131"/>
      <c r="Q64" s="6">
        <v>55000</v>
      </c>
      <c r="R64" s="56"/>
      <c r="S64" s="59"/>
      <c r="T64" s="6"/>
      <c r="U64" s="23"/>
      <c r="V64" s="6">
        <v>37000</v>
      </c>
      <c r="W64" s="6"/>
      <c r="X64" s="6"/>
      <c r="Y64" s="6"/>
      <c r="Z64" s="24"/>
      <c r="AA64" s="159"/>
      <c r="AB64" s="6"/>
      <c r="AC64" s="24"/>
      <c r="AD64" s="159"/>
      <c r="AE64" s="159"/>
      <c r="AF64" s="6"/>
      <c r="AG64" s="59"/>
      <c r="AH64" s="23"/>
      <c r="AI64" s="6"/>
      <c r="AJ64" s="6"/>
      <c r="AK64" s="6"/>
      <c r="AL64" s="101">
        <f t="shared" si="8"/>
        <v>0</v>
      </c>
    </row>
    <row r="65" spans="1:38" x14ac:dyDescent="0.2">
      <c r="A65" s="16" t="s">
        <v>1</v>
      </c>
      <c r="B65" s="292"/>
      <c r="C65" s="159"/>
      <c r="D65" s="23"/>
      <c r="E65" s="23"/>
      <c r="F65" s="214"/>
      <c r="G65" s="23"/>
      <c r="H65" s="6"/>
      <c r="I65" s="6"/>
      <c r="J65" s="6"/>
      <c r="K65" s="59"/>
      <c r="L65" s="35"/>
      <c r="M65" s="7"/>
      <c r="N65" s="7"/>
      <c r="O65" s="32"/>
      <c r="P65" s="131"/>
      <c r="Q65" s="6">
        <v>30000</v>
      </c>
      <c r="R65" s="56"/>
      <c r="S65" s="59"/>
      <c r="T65" s="6"/>
      <c r="U65" s="23"/>
      <c r="V65" s="6">
        <v>65000</v>
      </c>
      <c r="W65" s="6"/>
      <c r="X65" s="6"/>
      <c r="Y65" s="6"/>
      <c r="Z65" s="24"/>
      <c r="AA65" s="159"/>
      <c r="AB65" s="6"/>
      <c r="AC65" s="24"/>
      <c r="AD65" s="159"/>
      <c r="AE65" s="159"/>
      <c r="AF65" s="6"/>
      <c r="AG65" s="59"/>
      <c r="AH65" s="23"/>
      <c r="AI65" s="6"/>
      <c r="AJ65" s="6"/>
      <c r="AK65" s="6"/>
      <c r="AL65" s="101">
        <f t="shared" si="8"/>
        <v>0</v>
      </c>
    </row>
    <row r="66" spans="1:38" s="8" customFormat="1" x14ac:dyDescent="0.2">
      <c r="A66" s="17" t="s">
        <v>27</v>
      </c>
      <c r="B66" s="289"/>
      <c r="C66" s="161">
        <f t="shared" ref="C66:AK66" si="9">SUM(C48:C65)</f>
        <v>0</v>
      </c>
      <c r="D66" s="25">
        <f t="shared" si="9"/>
        <v>117740.91272000001</v>
      </c>
      <c r="E66" s="25">
        <f t="shared" si="9"/>
        <v>110050.73</v>
      </c>
      <c r="F66" s="142">
        <f t="shared" si="9"/>
        <v>98139.510000000009</v>
      </c>
      <c r="G66" s="199">
        <f t="shared" si="9"/>
        <v>37193.040000000001</v>
      </c>
      <c r="H66" s="191">
        <f t="shared" si="9"/>
        <v>92.8</v>
      </c>
      <c r="I66" s="191">
        <f t="shared" si="9"/>
        <v>990</v>
      </c>
      <c r="J66" s="191">
        <f t="shared" si="9"/>
        <v>45538.83</v>
      </c>
      <c r="K66" s="218">
        <f t="shared" si="9"/>
        <v>148420.13</v>
      </c>
      <c r="L66" s="199">
        <f t="shared" si="9"/>
        <v>22574</v>
      </c>
      <c r="M66" s="191">
        <f t="shared" si="9"/>
        <v>60400</v>
      </c>
      <c r="N66" s="191">
        <f t="shared" si="9"/>
        <v>56809</v>
      </c>
      <c r="O66" s="200">
        <f t="shared" si="9"/>
        <v>37011</v>
      </c>
      <c r="P66" s="169">
        <f t="shared" si="9"/>
        <v>52800</v>
      </c>
      <c r="Q66" s="191">
        <f t="shared" si="9"/>
        <v>95000</v>
      </c>
      <c r="R66" s="15">
        <f t="shared" si="9"/>
        <v>297925</v>
      </c>
      <c r="S66" s="60">
        <f t="shared" si="9"/>
        <v>46540</v>
      </c>
      <c r="T66" s="60">
        <f t="shared" si="9"/>
        <v>0</v>
      </c>
      <c r="U66" s="199">
        <f t="shared" si="9"/>
        <v>75900</v>
      </c>
      <c r="V66" s="191">
        <f t="shared" si="9"/>
        <v>102000</v>
      </c>
      <c r="W66" s="191">
        <f t="shared" si="9"/>
        <v>0</v>
      </c>
      <c r="X66" s="191">
        <f t="shared" si="9"/>
        <v>500825</v>
      </c>
      <c r="Y66" s="191">
        <f t="shared" si="9"/>
        <v>297925</v>
      </c>
      <c r="Z66" s="200">
        <f t="shared" si="9"/>
        <v>26050</v>
      </c>
      <c r="AA66" s="191">
        <f t="shared" si="9"/>
        <v>85200</v>
      </c>
      <c r="AB66" s="191">
        <f t="shared" si="9"/>
        <v>634300</v>
      </c>
      <c r="AC66" s="200">
        <f t="shared" si="9"/>
        <v>569575</v>
      </c>
      <c r="AD66" s="15">
        <f t="shared" si="9"/>
        <v>70169</v>
      </c>
      <c r="AE66" s="15">
        <f t="shared" si="9"/>
        <v>0</v>
      </c>
      <c r="AF66" s="15">
        <f t="shared" si="9"/>
        <v>415052</v>
      </c>
      <c r="AG66" s="15">
        <f t="shared" si="9"/>
        <v>558625</v>
      </c>
      <c r="AH66" s="322">
        <f t="shared" si="9"/>
        <v>300</v>
      </c>
      <c r="AI66" s="322">
        <f t="shared" si="9"/>
        <v>0</v>
      </c>
      <c r="AJ66" s="322">
        <f t="shared" si="9"/>
        <v>0</v>
      </c>
      <c r="AK66" s="324">
        <f t="shared" si="9"/>
        <v>397800</v>
      </c>
      <c r="AL66" s="101">
        <f t="shared" si="8"/>
        <v>28.832719999947585</v>
      </c>
    </row>
    <row r="67" spans="1:38" s="37" customFormat="1" ht="25.5" x14ac:dyDescent="0.2">
      <c r="A67" s="279" t="s">
        <v>69</v>
      </c>
      <c r="B67" s="290" t="s">
        <v>260</v>
      </c>
      <c r="C67" s="146"/>
      <c r="D67" s="43"/>
      <c r="E67" s="43">
        <v>12148.69</v>
      </c>
      <c r="F67" s="213"/>
      <c r="G67" s="43"/>
      <c r="H67" s="44">
        <v>258.8</v>
      </c>
      <c r="I67" s="45"/>
      <c r="J67" s="45">
        <f>10049+2355.75</f>
        <v>12404.75</v>
      </c>
      <c r="K67" s="44">
        <v>258.8</v>
      </c>
      <c r="L67" s="43"/>
      <c r="M67" s="45"/>
      <c r="N67" s="45"/>
      <c r="O67" s="46">
        <v>24554</v>
      </c>
      <c r="P67" s="55"/>
      <c r="Q67" s="45"/>
      <c r="R67" s="55"/>
      <c r="S67" s="58"/>
      <c r="T67" s="45"/>
      <c r="U67" s="43"/>
      <c r="V67" s="45"/>
      <c r="W67" s="45"/>
      <c r="X67" s="45"/>
      <c r="Y67" s="45"/>
      <c r="Z67" s="46"/>
      <c r="AA67" s="146"/>
      <c r="AB67" s="45"/>
      <c r="AC67" s="46"/>
      <c r="AD67" s="146"/>
      <c r="AE67" s="146"/>
      <c r="AF67" s="45"/>
      <c r="AG67" s="58"/>
      <c r="AH67" s="43"/>
      <c r="AI67" s="45"/>
      <c r="AJ67" s="45"/>
      <c r="AK67" s="45"/>
      <c r="AL67" s="101">
        <f t="shared" si="8"/>
        <v>-259.35999999999694</v>
      </c>
    </row>
    <row r="68" spans="1:38" s="37" customFormat="1" x14ac:dyDescent="0.2">
      <c r="A68" s="279" t="s">
        <v>70</v>
      </c>
      <c r="B68" s="290" t="s">
        <v>261</v>
      </c>
      <c r="C68" s="146"/>
      <c r="D68" s="43"/>
      <c r="E68" s="43">
        <v>5289.39</v>
      </c>
      <c r="F68" s="213"/>
      <c r="G68" s="43"/>
      <c r="H68" s="44">
        <v>94.01</v>
      </c>
      <c r="I68" s="45"/>
      <c r="J68" s="45">
        <f>6604+1011.92</f>
        <v>7615.92</v>
      </c>
      <c r="K68" s="44">
        <v>94.01</v>
      </c>
      <c r="L68" s="43"/>
      <c r="M68" s="45"/>
      <c r="N68" s="45"/>
      <c r="O68" s="46">
        <v>12906</v>
      </c>
      <c r="P68" s="55"/>
      <c r="Q68" s="45"/>
      <c r="R68" s="55"/>
      <c r="S68" s="58"/>
      <c r="T68" s="45"/>
      <c r="U68" s="43"/>
      <c r="V68" s="45"/>
      <c r="W68" s="45"/>
      <c r="X68" s="45"/>
      <c r="Y68" s="45"/>
      <c r="Z68" s="46"/>
      <c r="AA68" s="146"/>
      <c r="AB68" s="45"/>
      <c r="AC68" s="46"/>
      <c r="AD68" s="146"/>
      <c r="AE68" s="146"/>
      <c r="AF68" s="45"/>
      <c r="AG68" s="58"/>
      <c r="AH68" s="43"/>
      <c r="AI68" s="45"/>
      <c r="AJ68" s="45"/>
      <c r="AK68" s="45"/>
      <c r="AL68" s="101">
        <f t="shared" si="8"/>
        <v>-94.699999999998909</v>
      </c>
    </row>
    <row r="69" spans="1:38" s="37" customFormat="1" ht="25.5" x14ac:dyDescent="0.2">
      <c r="A69" s="279" t="s">
        <v>71</v>
      </c>
      <c r="B69" s="290" t="s">
        <v>259</v>
      </c>
      <c r="C69" s="146"/>
      <c r="D69" s="43"/>
      <c r="E69" s="43">
        <v>9693.66</v>
      </c>
      <c r="F69" s="213"/>
      <c r="G69" s="43"/>
      <c r="H69" s="44">
        <v>223.25</v>
      </c>
      <c r="I69" s="45"/>
      <c r="J69" s="45">
        <f>9172+2111.11</f>
        <v>11283.11</v>
      </c>
      <c r="K69" s="44">
        <v>223.25</v>
      </c>
      <c r="L69" s="43"/>
      <c r="M69" s="45"/>
      <c r="N69" s="45"/>
      <c r="O69" s="46">
        <v>20977</v>
      </c>
      <c r="P69" s="55"/>
      <c r="Q69" s="45"/>
      <c r="R69" s="55"/>
      <c r="S69" s="58"/>
      <c r="T69" s="45"/>
      <c r="U69" s="43"/>
      <c r="V69" s="45"/>
      <c r="W69" s="45"/>
      <c r="X69" s="45"/>
      <c r="Y69" s="45"/>
      <c r="Z69" s="46"/>
      <c r="AA69" s="146"/>
      <c r="AB69" s="45"/>
      <c r="AC69" s="46"/>
      <c r="AD69" s="146"/>
      <c r="AE69" s="146"/>
      <c r="AF69" s="45"/>
      <c r="AG69" s="58"/>
      <c r="AH69" s="43"/>
      <c r="AI69" s="45"/>
      <c r="AJ69" s="45"/>
      <c r="AK69" s="45"/>
      <c r="AL69" s="101">
        <f t="shared" si="8"/>
        <v>-223.47999999999956</v>
      </c>
    </row>
    <row r="70" spans="1:38" s="37" customFormat="1" x14ac:dyDescent="0.2">
      <c r="A70" s="130" t="s">
        <v>252</v>
      </c>
      <c r="B70" s="288"/>
      <c r="C70" s="146"/>
      <c r="D70" s="43"/>
      <c r="E70" s="43"/>
      <c r="F70" s="213"/>
      <c r="G70" s="43"/>
      <c r="H70" s="44"/>
      <c r="I70" s="45"/>
      <c r="J70" s="45"/>
      <c r="K70" s="272"/>
      <c r="L70" s="43"/>
      <c r="M70" s="45"/>
      <c r="N70" s="45">
        <v>7900</v>
      </c>
      <c r="O70" s="46"/>
      <c r="P70" s="55"/>
      <c r="Q70" s="45"/>
      <c r="R70" s="55">
        <v>7900</v>
      </c>
      <c r="S70" s="58"/>
      <c r="T70" s="45"/>
      <c r="U70" s="43"/>
      <c r="V70" s="45"/>
      <c r="W70" s="45"/>
      <c r="X70" s="45"/>
      <c r="Y70" s="45">
        <v>15800</v>
      </c>
      <c r="Z70" s="46"/>
      <c r="AA70" s="146"/>
      <c r="AB70" s="45"/>
      <c r="AC70" s="46"/>
      <c r="AD70" s="146"/>
      <c r="AE70" s="146"/>
      <c r="AF70" s="45"/>
      <c r="AG70" s="58"/>
      <c r="AH70" s="43"/>
      <c r="AI70" s="45"/>
      <c r="AJ70" s="45"/>
      <c r="AK70" s="45"/>
      <c r="AL70" s="101"/>
    </row>
    <row r="71" spans="1:38" s="37" customFormat="1" ht="25.5" x14ac:dyDescent="0.2">
      <c r="A71" s="279" t="s">
        <v>72</v>
      </c>
      <c r="B71" s="290" t="s">
        <v>270</v>
      </c>
      <c r="C71" s="146"/>
      <c r="D71" s="43"/>
      <c r="E71" s="43"/>
      <c r="F71" s="213"/>
      <c r="G71" s="43"/>
      <c r="H71" s="45"/>
      <c r="I71" s="45"/>
      <c r="J71" s="45">
        <v>12830.33</v>
      </c>
      <c r="K71" s="58"/>
      <c r="L71" s="43"/>
      <c r="M71" s="45"/>
      <c r="N71" s="45">
        <v>18658</v>
      </c>
      <c r="O71" s="46"/>
      <c r="P71" s="55"/>
      <c r="Q71" s="45"/>
      <c r="R71" s="55"/>
      <c r="S71" s="58">
        <v>31488</v>
      </c>
      <c r="T71" s="45"/>
      <c r="U71" s="43"/>
      <c r="V71" s="45"/>
      <c r="W71" s="45"/>
      <c r="X71" s="45"/>
      <c r="Y71" s="45"/>
      <c r="Z71" s="46"/>
      <c r="AA71" s="146"/>
      <c r="AB71" s="45"/>
      <c r="AC71" s="46"/>
      <c r="AD71" s="146"/>
      <c r="AE71" s="146"/>
      <c r="AF71" s="45"/>
      <c r="AG71" s="58"/>
      <c r="AH71" s="43"/>
      <c r="AI71" s="45"/>
      <c r="AJ71" s="45"/>
      <c r="AK71" s="45"/>
      <c r="AL71" s="101">
        <f t="shared" ref="AL71:AL102" si="10">D71+E71+J71+N71+R71+W71-F71-K71-O71-S71-Y71</f>
        <v>0.33000000000174623</v>
      </c>
    </row>
    <row r="72" spans="1:38" s="37" customFormat="1" x14ac:dyDescent="0.2">
      <c r="A72" s="279" t="s">
        <v>73</v>
      </c>
      <c r="B72" s="290" t="s">
        <v>273</v>
      </c>
      <c r="C72" s="146"/>
      <c r="D72" s="43"/>
      <c r="E72" s="43"/>
      <c r="F72" s="213"/>
      <c r="G72" s="43"/>
      <c r="H72" s="45"/>
      <c r="I72" s="89">
        <v>28791.3</v>
      </c>
      <c r="J72" s="45">
        <v>11792</v>
      </c>
      <c r="K72" s="58"/>
      <c r="L72" s="43"/>
      <c r="M72" s="45">
        <v>68375</v>
      </c>
      <c r="N72" s="45">
        <v>19625</v>
      </c>
      <c r="O72" s="46"/>
      <c r="P72" s="55"/>
      <c r="Q72" s="45">
        <v>60950</v>
      </c>
      <c r="R72" s="55">
        <v>16792</v>
      </c>
      <c r="S72" s="58">
        <v>48209</v>
      </c>
      <c r="T72" s="45"/>
      <c r="U72" s="43"/>
      <c r="V72" s="45"/>
      <c r="W72" s="45"/>
      <c r="X72" s="45"/>
      <c r="Y72" s="45"/>
      <c r="Z72" s="46"/>
      <c r="AA72" s="146"/>
      <c r="AB72" s="45"/>
      <c r="AC72" s="46"/>
      <c r="AD72" s="146"/>
      <c r="AE72" s="146"/>
      <c r="AF72" s="45"/>
      <c r="AG72" s="58"/>
      <c r="AH72" s="43"/>
      <c r="AI72" s="45"/>
      <c r="AJ72" s="45"/>
      <c r="AK72" s="45"/>
      <c r="AL72" s="101">
        <f t="shared" si="10"/>
        <v>0</v>
      </c>
    </row>
    <row r="73" spans="1:38" s="37" customFormat="1" ht="25.5" x14ac:dyDescent="0.2">
      <c r="A73" s="279" t="s">
        <v>74</v>
      </c>
      <c r="B73" s="290" t="s">
        <v>280</v>
      </c>
      <c r="C73" s="146"/>
      <c r="D73" s="43"/>
      <c r="E73" s="43"/>
      <c r="F73" s="213"/>
      <c r="G73" s="43"/>
      <c r="H73" s="45"/>
      <c r="I73" s="45">
        <v>7525</v>
      </c>
      <c r="J73" s="45">
        <v>2975</v>
      </c>
      <c r="K73" s="58"/>
      <c r="L73" s="43"/>
      <c r="M73" s="45">
        <v>22984</v>
      </c>
      <c r="N73" s="45">
        <v>516</v>
      </c>
      <c r="O73" s="46">
        <v>0</v>
      </c>
      <c r="P73" s="55"/>
      <c r="Q73" s="45">
        <v>19995</v>
      </c>
      <c r="R73" s="55">
        <v>525</v>
      </c>
      <c r="S73" s="58">
        <v>4016</v>
      </c>
      <c r="T73" s="45"/>
      <c r="U73" s="43"/>
      <c r="V73" s="45"/>
      <c r="W73" s="45"/>
      <c r="X73" s="45"/>
      <c r="Y73" s="45"/>
      <c r="Z73" s="46"/>
      <c r="AA73" s="146"/>
      <c r="AB73" s="45"/>
      <c r="AC73" s="46"/>
      <c r="AD73" s="146"/>
      <c r="AE73" s="146"/>
      <c r="AF73" s="45"/>
      <c r="AG73" s="58"/>
      <c r="AH73" s="43"/>
      <c r="AI73" s="45"/>
      <c r="AJ73" s="45"/>
      <c r="AK73" s="45"/>
      <c r="AL73" s="101">
        <f t="shared" si="10"/>
        <v>0</v>
      </c>
    </row>
    <row r="74" spans="1:38" s="37" customFormat="1" ht="15" x14ac:dyDescent="0.25">
      <c r="A74" s="279" t="s">
        <v>75</v>
      </c>
      <c r="B74" s="290" t="s">
        <v>271</v>
      </c>
      <c r="C74" s="146"/>
      <c r="D74" s="43"/>
      <c r="E74" s="43"/>
      <c r="F74" s="213"/>
      <c r="G74" s="43"/>
      <c r="H74" s="45"/>
      <c r="I74" s="45"/>
      <c r="J74" s="45">
        <v>7800</v>
      </c>
      <c r="K74" s="58"/>
      <c r="L74" s="43"/>
      <c r="M74" s="45"/>
      <c r="N74" s="103">
        <v>13283</v>
      </c>
      <c r="O74" s="46"/>
      <c r="P74" s="55"/>
      <c r="Q74" s="45"/>
      <c r="R74" s="55"/>
      <c r="S74" s="58">
        <v>21083</v>
      </c>
      <c r="T74" s="45"/>
      <c r="U74" s="43"/>
      <c r="V74" s="45"/>
      <c r="W74" s="45"/>
      <c r="X74" s="45"/>
      <c r="Y74" s="45"/>
      <c r="Z74" s="46"/>
      <c r="AA74" s="146"/>
      <c r="AB74" s="45"/>
      <c r="AC74" s="46"/>
      <c r="AD74" s="146"/>
      <c r="AE74" s="146"/>
      <c r="AF74" s="45"/>
      <c r="AG74" s="58"/>
      <c r="AH74" s="43"/>
      <c r="AI74" s="45"/>
      <c r="AJ74" s="45"/>
      <c r="AK74" s="45"/>
      <c r="AL74" s="101">
        <f t="shared" si="10"/>
        <v>0</v>
      </c>
    </row>
    <row r="75" spans="1:38" s="37" customFormat="1" x14ac:dyDescent="0.2">
      <c r="A75" s="130" t="s">
        <v>76</v>
      </c>
      <c r="B75" s="288"/>
      <c r="C75" s="146"/>
      <c r="D75" s="43"/>
      <c r="E75" s="43"/>
      <c r="F75" s="213"/>
      <c r="G75" s="43"/>
      <c r="H75" s="45"/>
      <c r="I75" s="45"/>
      <c r="J75" s="45"/>
      <c r="K75" s="58"/>
      <c r="L75" s="43"/>
      <c r="M75" s="45"/>
      <c r="N75" s="7">
        <v>0</v>
      </c>
      <c r="O75" s="46"/>
      <c r="P75" s="55"/>
      <c r="Q75" s="45"/>
      <c r="R75" s="55">
        <v>0</v>
      </c>
      <c r="S75" s="58">
        <v>0</v>
      </c>
      <c r="T75" s="45"/>
      <c r="U75" s="43"/>
      <c r="V75" s="45"/>
      <c r="W75" s="45"/>
      <c r="X75" s="45"/>
      <c r="Y75" s="45"/>
      <c r="Z75" s="46"/>
      <c r="AA75" s="146"/>
      <c r="AB75" s="45"/>
      <c r="AC75" s="46"/>
      <c r="AD75" s="146"/>
      <c r="AE75" s="146"/>
      <c r="AF75" s="45"/>
      <c r="AG75" s="58"/>
      <c r="AH75" s="43"/>
      <c r="AI75" s="45"/>
      <c r="AJ75" s="45"/>
      <c r="AK75" s="45"/>
      <c r="AL75" s="101">
        <f t="shared" si="10"/>
        <v>0</v>
      </c>
    </row>
    <row r="76" spans="1:38" x14ac:dyDescent="0.2">
      <c r="A76" s="18" t="s">
        <v>151</v>
      </c>
      <c r="B76" s="294"/>
      <c r="C76" s="189"/>
      <c r="D76" s="31"/>
      <c r="E76" s="31"/>
      <c r="F76" s="216"/>
      <c r="G76" s="31"/>
      <c r="H76" s="7"/>
      <c r="I76" s="7">
        <v>0</v>
      </c>
      <c r="J76" s="7"/>
      <c r="K76" s="62"/>
      <c r="L76" s="43"/>
      <c r="M76" s="7">
        <v>0</v>
      </c>
      <c r="N76" s="7"/>
      <c r="O76" s="32"/>
      <c r="P76" s="131"/>
      <c r="Q76" s="7"/>
      <c r="R76" s="131"/>
      <c r="S76" s="62"/>
      <c r="T76" s="6"/>
      <c r="U76" s="31"/>
      <c r="V76" s="6"/>
      <c r="W76" s="6"/>
      <c r="X76" s="6"/>
      <c r="Y76" s="6"/>
      <c r="Z76" s="24"/>
      <c r="AA76" s="159"/>
      <c r="AB76" s="6"/>
      <c r="AC76" s="24"/>
      <c r="AD76" s="159"/>
      <c r="AE76" s="159"/>
      <c r="AF76" s="6"/>
      <c r="AG76" s="59"/>
      <c r="AH76" s="23"/>
      <c r="AI76" s="6"/>
      <c r="AJ76" s="6"/>
      <c r="AK76" s="6"/>
      <c r="AL76" s="101">
        <f t="shared" si="10"/>
        <v>0</v>
      </c>
    </row>
    <row r="77" spans="1:38" x14ac:dyDescent="0.2">
      <c r="A77" s="251" t="s">
        <v>211</v>
      </c>
      <c r="B77" s="295"/>
      <c r="C77" s="189"/>
      <c r="D77" s="31"/>
      <c r="E77" s="31"/>
      <c r="F77" s="216"/>
      <c r="G77" s="31"/>
      <c r="H77" s="7"/>
      <c r="I77" s="7"/>
      <c r="J77" s="7"/>
      <c r="K77" s="62"/>
      <c r="L77" s="43"/>
      <c r="M77" s="7"/>
      <c r="N77" s="7"/>
      <c r="O77" s="32"/>
      <c r="P77" s="131"/>
      <c r="Q77" s="7"/>
      <c r="R77" s="273">
        <v>12750</v>
      </c>
      <c r="S77" s="62"/>
      <c r="T77" s="6"/>
      <c r="U77" s="31"/>
      <c r="V77" s="6"/>
      <c r="W77" s="6"/>
      <c r="X77" s="6">
        <v>97750</v>
      </c>
      <c r="Y77" s="274">
        <v>10200</v>
      </c>
      <c r="Z77" s="24">
        <v>52250</v>
      </c>
      <c r="AA77" s="159"/>
      <c r="AB77" s="6">
        <v>139500</v>
      </c>
      <c r="AC77" s="24">
        <v>145000</v>
      </c>
      <c r="AD77" s="159"/>
      <c r="AE77" s="159"/>
      <c r="AF77" s="6"/>
      <c r="AG77" s="59">
        <v>40000</v>
      </c>
      <c r="AH77" s="23"/>
      <c r="AI77" s="6"/>
      <c r="AJ77" s="6"/>
      <c r="AK77" s="6"/>
      <c r="AL77" s="101">
        <f t="shared" si="10"/>
        <v>2550</v>
      </c>
    </row>
    <row r="78" spans="1:38" x14ac:dyDescent="0.2">
      <c r="A78" s="226" t="s">
        <v>24</v>
      </c>
      <c r="B78" s="296"/>
      <c r="C78" s="189"/>
      <c r="D78" s="31"/>
      <c r="E78" s="31"/>
      <c r="F78" s="216"/>
      <c r="G78" s="278"/>
      <c r="H78" s="7"/>
      <c r="I78" s="7">
        <v>0</v>
      </c>
      <c r="J78" s="7"/>
      <c r="K78" s="62"/>
      <c r="L78" s="43"/>
      <c r="M78" s="7">
        <v>97731</v>
      </c>
      <c r="N78" s="45">
        <v>37794</v>
      </c>
      <c r="O78" s="46">
        <v>37794</v>
      </c>
      <c r="P78" s="243">
        <v>46900</v>
      </c>
      <c r="Q78" s="7">
        <v>19761</v>
      </c>
      <c r="R78" s="131"/>
      <c r="S78" s="62"/>
      <c r="T78" s="6"/>
      <c r="U78" s="31"/>
      <c r="V78" s="6"/>
      <c r="W78" s="6"/>
      <c r="X78" s="6"/>
      <c r="Y78" s="6"/>
      <c r="Z78" s="24"/>
      <c r="AA78" s="159"/>
      <c r="AB78" s="6"/>
      <c r="AC78" s="24"/>
      <c r="AD78" s="159"/>
      <c r="AE78" s="159"/>
      <c r="AF78" s="6"/>
      <c r="AG78" s="59"/>
      <c r="AH78" s="23"/>
      <c r="AI78" s="6"/>
      <c r="AJ78" s="6"/>
      <c r="AK78" s="6"/>
      <c r="AL78" s="101">
        <f t="shared" si="10"/>
        <v>0</v>
      </c>
    </row>
    <row r="79" spans="1:38" ht="25.5" x14ac:dyDescent="0.2">
      <c r="A79" s="226" t="s">
        <v>23</v>
      </c>
      <c r="B79" s="290">
        <v>5737</v>
      </c>
      <c r="C79" s="189"/>
      <c r="D79" s="31"/>
      <c r="E79" s="31"/>
      <c r="F79" s="216"/>
      <c r="G79" s="278">
        <v>38.97</v>
      </c>
      <c r="H79" s="7"/>
      <c r="I79" s="7">
        <v>17961.03</v>
      </c>
      <c r="J79" s="7">
        <v>0</v>
      </c>
      <c r="K79" s="62">
        <v>0</v>
      </c>
      <c r="L79" s="43"/>
      <c r="M79" s="7">
        <v>165000</v>
      </c>
      <c r="N79" s="7">
        <v>65000</v>
      </c>
      <c r="O79" s="32">
        <v>65000</v>
      </c>
      <c r="P79" s="131"/>
      <c r="Q79" s="7">
        <v>112039</v>
      </c>
      <c r="R79" s="131"/>
      <c r="S79" s="62"/>
      <c r="T79" s="6"/>
      <c r="U79" s="31"/>
      <c r="V79" s="6"/>
      <c r="W79" s="6"/>
      <c r="X79" s="6"/>
      <c r="Y79" s="6"/>
      <c r="Z79" s="24"/>
      <c r="AA79" s="159"/>
      <c r="AB79" s="6"/>
      <c r="AC79" s="24"/>
      <c r="AD79" s="159"/>
      <c r="AE79" s="159"/>
      <c r="AF79" s="6"/>
      <c r="AG79" s="59"/>
      <c r="AH79" s="23"/>
      <c r="AI79" s="6"/>
      <c r="AJ79" s="6"/>
      <c r="AK79" s="6"/>
      <c r="AL79" s="101">
        <f t="shared" si="10"/>
        <v>0</v>
      </c>
    </row>
    <row r="80" spans="1:38" ht="25.5" x14ac:dyDescent="0.2">
      <c r="A80" s="18" t="s">
        <v>160</v>
      </c>
      <c r="B80" s="294"/>
      <c r="C80" s="189"/>
      <c r="D80" s="31"/>
      <c r="E80" s="31"/>
      <c r="F80" s="216"/>
      <c r="G80" s="31"/>
      <c r="H80" s="7"/>
      <c r="I80" s="7">
        <v>10650</v>
      </c>
      <c r="J80" s="7"/>
      <c r="K80" s="62"/>
      <c r="L80" s="43"/>
      <c r="M80" s="7">
        <v>2850</v>
      </c>
      <c r="N80" s="7"/>
      <c r="O80" s="32"/>
      <c r="P80" s="131"/>
      <c r="Q80" s="7"/>
      <c r="R80" s="131"/>
      <c r="S80" s="62"/>
      <c r="T80" s="6"/>
      <c r="U80" s="31"/>
      <c r="V80" s="6"/>
      <c r="W80" s="6"/>
      <c r="X80" s="6"/>
      <c r="Y80" s="6"/>
      <c r="Z80" s="24"/>
      <c r="AA80" s="159"/>
      <c r="AB80" s="6"/>
      <c r="AC80" s="24"/>
      <c r="AD80" s="159"/>
      <c r="AE80" s="159"/>
      <c r="AF80" s="6"/>
      <c r="AG80" s="59"/>
      <c r="AH80" s="23"/>
      <c r="AI80" s="6"/>
      <c r="AJ80" s="6"/>
      <c r="AK80" s="6"/>
      <c r="AL80" s="101">
        <f t="shared" si="10"/>
        <v>0</v>
      </c>
    </row>
    <row r="81" spans="1:38" x14ac:dyDescent="0.2">
      <c r="A81" s="18" t="s">
        <v>249</v>
      </c>
      <c r="B81" s="294"/>
      <c r="C81" s="189"/>
      <c r="D81" s="31"/>
      <c r="E81" s="31"/>
      <c r="F81" s="216"/>
      <c r="G81" s="31"/>
      <c r="H81" s="7"/>
      <c r="I81" s="7">
        <v>11814</v>
      </c>
      <c r="J81" s="7"/>
      <c r="K81" s="62"/>
      <c r="L81" s="43"/>
      <c r="M81" s="7"/>
      <c r="N81" s="7"/>
      <c r="O81" s="32"/>
      <c r="P81" s="131"/>
      <c r="Q81" s="7"/>
      <c r="R81" s="131"/>
      <c r="S81" s="62"/>
      <c r="T81" s="6"/>
      <c r="U81" s="31"/>
      <c r="V81" s="6"/>
      <c r="W81" s="6"/>
      <c r="X81" s="6"/>
      <c r="Y81" s="6"/>
      <c r="Z81" s="24"/>
      <c r="AA81" s="159"/>
      <c r="AB81" s="6"/>
      <c r="AC81" s="24"/>
      <c r="AD81" s="159"/>
      <c r="AE81" s="159"/>
      <c r="AF81" s="6"/>
      <c r="AG81" s="59"/>
      <c r="AH81" s="23"/>
      <c r="AI81" s="6"/>
      <c r="AJ81" s="6"/>
      <c r="AK81" s="6"/>
      <c r="AL81" s="101">
        <f t="shared" si="10"/>
        <v>0</v>
      </c>
    </row>
    <row r="82" spans="1:38" ht="25.5" x14ac:dyDescent="0.2">
      <c r="A82" s="18" t="s">
        <v>241</v>
      </c>
      <c r="B82" s="294"/>
      <c r="C82" s="189"/>
      <c r="D82" s="31"/>
      <c r="E82" s="31"/>
      <c r="F82" s="216"/>
      <c r="G82" s="31"/>
      <c r="H82" s="7"/>
      <c r="I82" s="7">
        <v>6329.89</v>
      </c>
      <c r="J82" s="7"/>
      <c r="K82" s="62"/>
      <c r="L82" s="43"/>
      <c r="M82" s="7"/>
      <c r="N82" s="7"/>
      <c r="O82" s="32"/>
      <c r="P82" s="131"/>
      <c r="Q82" s="7"/>
      <c r="R82" s="131"/>
      <c r="S82" s="62"/>
      <c r="T82" s="6"/>
      <c r="U82" s="31"/>
      <c r="V82" s="6"/>
      <c r="W82" s="6"/>
      <c r="X82" s="6"/>
      <c r="Y82" s="6"/>
      <c r="Z82" s="24"/>
      <c r="AA82" s="159"/>
      <c r="AB82" s="6"/>
      <c r="AC82" s="24"/>
      <c r="AD82" s="159"/>
      <c r="AE82" s="159"/>
      <c r="AF82" s="6"/>
      <c r="AG82" s="59"/>
      <c r="AH82" s="23"/>
      <c r="AI82" s="6"/>
      <c r="AJ82" s="6"/>
      <c r="AK82" s="6"/>
      <c r="AL82" s="101">
        <f t="shared" si="10"/>
        <v>0</v>
      </c>
    </row>
    <row r="83" spans="1:38" ht="38.25" x14ac:dyDescent="0.2">
      <c r="A83" s="18" t="s">
        <v>242</v>
      </c>
      <c r="B83" s="294"/>
      <c r="C83" s="189"/>
      <c r="D83" s="31"/>
      <c r="E83" s="31"/>
      <c r="F83" s="216"/>
      <c r="G83" s="31"/>
      <c r="H83" s="7"/>
      <c r="I83" s="7">
        <v>13185.7</v>
      </c>
      <c r="J83" s="7"/>
      <c r="K83" s="62"/>
      <c r="L83" s="43"/>
      <c r="M83" s="7"/>
      <c r="N83" s="7"/>
      <c r="O83" s="32"/>
      <c r="P83" s="131"/>
      <c r="Q83" s="7"/>
      <c r="R83" s="131"/>
      <c r="S83" s="62"/>
      <c r="T83" s="6"/>
      <c r="U83" s="31"/>
      <c r="V83" s="6"/>
      <c r="W83" s="6"/>
      <c r="X83" s="6"/>
      <c r="Y83" s="6"/>
      <c r="Z83" s="24"/>
      <c r="AA83" s="159"/>
      <c r="AB83" s="6"/>
      <c r="AC83" s="24"/>
      <c r="AD83" s="159"/>
      <c r="AE83" s="159"/>
      <c r="AF83" s="6"/>
      <c r="AG83" s="59"/>
      <c r="AH83" s="23"/>
      <c r="AI83" s="6"/>
      <c r="AJ83" s="6"/>
      <c r="AK83" s="6"/>
      <c r="AL83" s="101">
        <f t="shared" si="10"/>
        <v>0</v>
      </c>
    </row>
    <row r="84" spans="1:38" s="8" customFormat="1" x14ac:dyDescent="0.2">
      <c r="A84" s="17" t="s">
        <v>30</v>
      </c>
      <c r="B84" s="289"/>
      <c r="C84" s="161">
        <f t="shared" ref="C84:AK84" si="11">SUM(C67:C83)</f>
        <v>0</v>
      </c>
      <c r="D84" s="25">
        <f t="shared" si="11"/>
        <v>0</v>
      </c>
      <c r="E84" s="25">
        <f t="shared" si="11"/>
        <v>27131.74</v>
      </c>
      <c r="F84" s="25">
        <f t="shared" si="11"/>
        <v>0</v>
      </c>
      <c r="G84" s="25">
        <f t="shared" si="11"/>
        <v>38.97</v>
      </c>
      <c r="H84" s="25">
        <f t="shared" si="11"/>
        <v>576.05999999999995</v>
      </c>
      <c r="I84" s="25">
        <f t="shared" si="11"/>
        <v>96256.92</v>
      </c>
      <c r="J84" s="25">
        <f t="shared" si="11"/>
        <v>66701.11</v>
      </c>
      <c r="K84" s="25">
        <f t="shared" si="11"/>
        <v>576.05999999999995</v>
      </c>
      <c r="L84" s="25">
        <f t="shared" si="11"/>
        <v>0</v>
      </c>
      <c r="M84" s="25">
        <f t="shared" si="11"/>
        <v>356940</v>
      </c>
      <c r="N84" s="25">
        <f t="shared" si="11"/>
        <v>162776</v>
      </c>
      <c r="O84" s="25">
        <f t="shared" si="11"/>
        <v>161231</v>
      </c>
      <c r="P84" s="25">
        <f t="shared" si="11"/>
        <v>46900</v>
      </c>
      <c r="Q84" s="25">
        <f t="shared" si="11"/>
        <v>212745</v>
      </c>
      <c r="R84" s="25">
        <f t="shared" si="11"/>
        <v>37967</v>
      </c>
      <c r="S84" s="25">
        <f t="shared" si="11"/>
        <v>104796</v>
      </c>
      <c r="T84" s="25">
        <f t="shared" si="11"/>
        <v>0</v>
      </c>
      <c r="U84" s="25">
        <f t="shared" si="11"/>
        <v>0</v>
      </c>
      <c r="V84" s="25">
        <f t="shared" si="11"/>
        <v>0</v>
      </c>
      <c r="W84" s="25">
        <f t="shared" si="11"/>
        <v>0</v>
      </c>
      <c r="X84" s="25">
        <f t="shared" si="11"/>
        <v>97750</v>
      </c>
      <c r="Y84" s="25">
        <f t="shared" si="11"/>
        <v>26000</v>
      </c>
      <c r="Z84" s="25">
        <f t="shared" si="11"/>
        <v>52250</v>
      </c>
      <c r="AA84" s="25">
        <f t="shared" si="11"/>
        <v>0</v>
      </c>
      <c r="AB84" s="25">
        <f t="shared" si="11"/>
        <v>139500</v>
      </c>
      <c r="AC84" s="25">
        <f t="shared" si="11"/>
        <v>145000</v>
      </c>
      <c r="AD84" s="25">
        <f t="shared" si="11"/>
        <v>0</v>
      </c>
      <c r="AE84" s="25">
        <f t="shared" si="11"/>
        <v>0</v>
      </c>
      <c r="AF84" s="25">
        <f t="shared" si="11"/>
        <v>0</v>
      </c>
      <c r="AG84" s="142">
        <f t="shared" si="11"/>
        <v>40000</v>
      </c>
      <c r="AH84" s="322">
        <f t="shared" si="11"/>
        <v>0</v>
      </c>
      <c r="AI84" s="322">
        <f t="shared" si="11"/>
        <v>0</v>
      </c>
      <c r="AJ84" s="322">
        <f t="shared" si="11"/>
        <v>0</v>
      </c>
      <c r="AK84" s="323">
        <f t="shared" si="11"/>
        <v>0</v>
      </c>
      <c r="AL84" s="101">
        <f t="shared" si="10"/>
        <v>1972.789999999979</v>
      </c>
    </row>
    <row r="85" spans="1:38" s="37" customFormat="1" x14ac:dyDescent="0.2">
      <c r="A85" s="128" t="s">
        <v>102</v>
      </c>
      <c r="B85" s="288"/>
      <c r="C85" s="146"/>
      <c r="D85" s="43"/>
      <c r="E85" s="43"/>
      <c r="F85" s="213"/>
      <c r="G85" s="43"/>
      <c r="H85" s="45"/>
      <c r="I85" s="45"/>
      <c r="J85" s="45"/>
      <c r="K85" s="58"/>
      <c r="L85" s="43"/>
      <c r="M85" s="45"/>
      <c r="N85" s="45">
        <v>0</v>
      </c>
      <c r="O85" s="46"/>
      <c r="P85" s="55"/>
      <c r="Q85" s="45"/>
      <c r="R85" s="55">
        <v>17000</v>
      </c>
      <c r="S85" s="58">
        <v>17000</v>
      </c>
      <c r="T85" s="45"/>
      <c r="U85" s="43"/>
      <c r="V85" s="45"/>
      <c r="W85" s="45"/>
      <c r="X85" s="45"/>
      <c r="Y85" s="45"/>
      <c r="Z85" s="46"/>
      <c r="AA85" s="146"/>
      <c r="AB85" s="45"/>
      <c r="AC85" s="46"/>
      <c r="AD85" s="146"/>
      <c r="AE85" s="146"/>
      <c r="AF85" s="45"/>
      <c r="AG85" s="58"/>
      <c r="AH85" s="43"/>
      <c r="AI85" s="45"/>
      <c r="AJ85" s="45"/>
      <c r="AK85" s="45"/>
      <c r="AL85" s="101">
        <f t="shared" si="10"/>
        <v>0</v>
      </c>
    </row>
    <row r="86" spans="1:38" s="37" customFormat="1" x14ac:dyDescent="0.2">
      <c r="A86" s="128" t="s">
        <v>194</v>
      </c>
      <c r="B86" s="288"/>
      <c r="C86" s="146"/>
      <c r="D86" s="43">
        <v>569</v>
      </c>
      <c r="E86" s="43"/>
      <c r="F86" s="213"/>
      <c r="G86" s="43"/>
      <c r="H86" s="45"/>
      <c r="I86" s="45"/>
      <c r="J86" s="45"/>
      <c r="K86" s="58"/>
      <c r="L86" s="43"/>
      <c r="M86" s="45"/>
      <c r="N86" s="45"/>
      <c r="O86" s="46"/>
      <c r="P86" s="55"/>
      <c r="Q86" s="45"/>
      <c r="R86" s="55"/>
      <c r="S86" s="58"/>
      <c r="T86" s="45"/>
      <c r="U86" s="43"/>
      <c r="V86" s="45"/>
      <c r="W86" s="45"/>
      <c r="X86" s="45"/>
      <c r="Y86" s="45"/>
      <c r="Z86" s="46"/>
      <c r="AA86" s="146"/>
      <c r="AB86" s="45"/>
      <c r="AC86" s="46"/>
      <c r="AD86" s="146"/>
      <c r="AE86" s="146"/>
      <c r="AF86" s="45"/>
      <c r="AG86" s="58"/>
      <c r="AH86" s="43"/>
      <c r="AI86" s="45"/>
      <c r="AJ86" s="45"/>
      <c r="AK86" s="45"/>
      <c r="AL86" s="229">
        <f t="shared" si="10"/>
        <v>569</v>
      </c>
    </row>
    <row r="87" spans="1:38" s="37" customFormat="1" x14ac:dyDescent="0.2">
      <c r="A87" s="280" t="s">
        <v>103</v>
      </c>
      <c r="B87" s="290" t="s">
        <v>278</v>
      </c>
      <c r="C87" s="146"/>
      <c r="D87" s="43"/>
      <c r="E87" s="43">
        <v>1730.77</v>
      </c>
      <c r="F87" s="213"/>
      <c r="G87" s="43"/>
      <c r="H87" s="45"/>
      <c r="I87" s="45"/>
      <c r="J87" s="45">
        <v>4937</v>
      </c>
      <c r="K87" s="58"/>
      <c r="L87" s="43"/>
      <c r="M87" s="45"/>
      <c r="N87" s="45">
        <v>0</v>
      </c>
      <c r="O87" s="46">
        <v>6668</v>
      </c>
      <c r="P87" s="55"/>
      <c r="Q87" s="45"/>
      <c r="R87" s="55"/>
      <c r="S87" s="58"/>
      <c r="T87" s="45"/>
      <c r="U87" s="43"/>
      <c r="V87" s="45"/>
      <c r="W87" s="45"/>
      <c r="X87" s="45"/>
      <c r="Y87" s="45"/>
      <c r="Z87" s="46"/>
      <c r="AA87" s="146"/>
      <c r="AB87" s="45"/>
      <c r="AC87" s="46"/>
      <c r="AD87" s="146"/>
      <c r="AE87" s="146"/>
      <c r="AF87" s="45"/>
      <c r="AG87" s="58"/>
      <c r="AH87" s="43"/>
      <c r="AI87" s="45"/>
      <c r="AJ87" s="45"/>
      <c r="AK87" s="45"/>
      <c r="AL87" s="101">
        <f t="shared" si="10"/>
        <v>-0.22999999999956344</v>
      </c>
    </row>
    <row r="88" spans="1:38" s="37" customFormat="1" x14ac:dyDescent="0.2">
      <c r="A88" s="280" t="s">
        <v>104</v>
      </c>
      <c r="B88" s="290" t="s">
        <v>266</v>
      </c>
      <c r="C88" s="146"/>
      <c r="D88" s="43"/>
      <c r="E88" s="43">
        <v>2331.21</v>
      </c>
      <c r="F88" s="213"/>
      <c r="G88" s="43"/>
      <c r="H88" s="45"/>
      <c r="I88" s="45"/>
      <c r="J88" s="45">
        <f>17968.79</f>
        <v>17968.79</v>
      </c>
      <c r="K88" s="58"/>
      <c r="L88" s="43"/>
      <c r="M88" s="45"/>
      <c r="N88" s="45">
        <v>7000</v>
      </c>
      <c r="O88" s="46"/>
      <c r="P88" s="55"/>
      <c r="Q88" s="45"/>
      <c r="R88" s="55"/>
      <c r="S88" s="58">
        <v>27300</v>
      </c>
      <c r="T88" s="45"/>
      <c r="U88" s="43"/>
      <c r="V88" s="45"/>
      <c r="W88" s="45"/>
      <c r="X88" s="45"/>
      <c r="Y88" s="45"/>
      <c r="Z88" s="46"/>
      <c r="AA88" s="146"/>
      <c r="AB88" s="45"/>
      <c r="AC88" s="46"/>
      <c r="AD88" s="146"/>
      <c r="AE88" s="146"/>
      <c r="AF88" s="45"/>
      <c r="AG88" s="58"/>
      <c r="AH88" s="43"/>
      <c r="AI88" s="45"/>
      <c r="AJ88" s="45"/>
      <c r="AK88" s="45"/>
      <c r="AL88" s="101">
        <f t="shared" si="10"/>
        <v>0</v>
      </c>
    </row>
    <row r="89" spans="1:38" s="37" customFormat="1" x14ac:dyDescent="0.2">
      <c r="A89" s="280" t="s">
        <v>105</v>
      </c>
      <c r="B89" s="290" t="s">
        <v>276</v>
      </c>
      <c r="C89" s="146"/>
      <c r="D89" s="43"/>
      <c r="E89" s="43">
        <v>3264.72</v>
      </c>
      <c r="F89" s="213"/>
      <c r="G89" s="43"/>
      <c r="H89" s="45"/>
      <c r="I89" s="45"/>
      <c r="J89" s="45">
        <v>4344.17</v>
      </c>
      <c r="K89" s="58">
        <v>7608.89</v>
      </c>
      <c r="L89" s="43"/>
      <c r="M89" s="45"/>
      <c r="N89" s="45"/>
      <c r="O89" s="46"/>
      <c r="P89" s="55"/>
      <c r="Q89" s="45"/>
      <c r="R89" s="55"/>
      <c r="S89" s="58"/>
      <c r="T89" s="45"/>
      <c r="U89" s="43"/>
      <c r="V89" s="45"/>
      <c r="W89" s="45"/>
      <c r="X89" s="45"/>
      <c r="Y89" s="45"/>
      <c r="Z89" s="46"/>
      <c r="AA89" s="146"/>
      <c r="AB89" s="45"/>
      <c r="AC89" s="46"/>
      <c r="AD89" s="146"/>
      <c r="AE89" s="146"/>
      <c r="AF89" s="45"/>
      <c r="AG89" s="58"/>
      <c r="AH89" s="43"/>
      <c r="AI89" s="45"/>
      <c r="AJ89" s="45"/>
      <c r="AK89" s="45"/>
      <c r="AL89" s="101">
        <f t="shared" si="10"/>
        <v>-9.0949470177292824E-13</v>
      </c>
    </row>
    <row r="90" spans="1:38" s="37" customFormat="1" ht="25.5" x14ac:dyDescent="0.2">
      <c r="A90" s="280" t="s">
        <v>106</v>
      </c>
      <c r="B90" s="290" t="s">
        <v>277</v>
      </c>
      <c r="C90" s="146"/>
      <c r="D90" s="43"/>
      <c r="E90" s="43">
        <v>1152.77</v>
      </c>
      <c r="F90" s="213"/>
      <c r="G90" s="43"/>
      <c r="H90" s="45"/>
      <c r="I90" s="45"/>
      <c r="J90" s="45">
        <v>5639.32</v>
      </c>
      <c r="K90" s="58">
        <v>6792.08</v>
      </c>
      <c r="L90" s="43"/>
      <c r="M90" s="45"/>
      <c r="N90" s="45"/>
      <c r="O90" s="46"/>
      <c r="P90" s="55"/>
      <c r="Q90" s="45"/>
      <c r="R90" s="55"/>
      <c r="S90" s="58"/>
      <c r="T90" s="45"/>
      <c r="U90" s="43"/>
      <c r="V90" s="45"/>
      <c r="W90" s="45"/>
      <c r="X90" s="45"/>
      <c r="Y90" s="45"/>
      <c r="Z90" s="46"/>
      <c r="AA90" s="146"/>
      <c r="AB90" s="45"/>
      <c r="AC90" s="46"/>
      <c r="AD90" s="146"/>
      <c r="AE90" s="146"/>
      <c r="AF90" s="45"/>
      <c r="AG90" s="58"/>
      <c r="AH90" s="43"/>
      <c r="AI90" s="45"/>
      <c r="AJ90" s="45"/>
      <c r="AK90" s="45"/>
      <c r="AL90" s="101">
        <f t="shared" si="10"/>
        <v>1.0000000000218279E-2</v>
      </c>
    </row>
    <row r="91" spans="1:38" s="37" customFormat="1" x14ac:dyDescent="0.2">
      <c r="A91" s="280" t="s">
        <v>107</v>
      </c>
      <c r="B91" s="290" t="s">
        <v>289</v>
      </c>
      <c r="C91" s="146"/>
      <c r="D91" s="43"/>
      <c r="E91" s="43"/>
      <c r="F91" s="213"/>
      <c r="G91" s="43"/>
      <c r="H91" s="45"/>
      <c r="I91" s="45">
        <v>0</v>
      </c>
      <c r="J91" s="45">
        <v>0</v>
      </c>
      <c r="K91" s="58"/>
      <c r="L91" s="43"/>
      <c r="M91" s="45"/>
      <c r="N91" s="45">
        <v>2500</v>
      </c>
      <c r="O91" s="46"/>
      <c r="P91" s="55"/>
      <c r="Q91" s="45"/>
      <c r="R91" s="55">
        <v>15930</v>
      </c>
      <c r="S91" s="58">
        <v>18430</v>
      </c>
      <c r="T91" s="45"/>
      <c r="U91" s="43"/>
      <c r="V91" s="45"/>
      <c r="W91" s="45"/>
      <c r="X91" s="45"/>
      <c r="Y91" s="45"/>
      <c r="Z91" s="46"/>
      <c r="AA91" s="146"/>
      <c r="AB91" s="45"/>
      <c r="AC91" s="46"/>
      <c r="AD91" s="146"/>
      <c r="AE91" s="146"/>
      <c r="AF91" s="45"/>
      <c r="AG91" s="58"/>
      <c r="AH91" s="43"/>
      <c r="AI91" s="45"/>
      <c r="AJ91" s="45"/>
      <c r="AK91" s="45"/>
      <c r="AL91" s="101">
        <f t="shared" si="10"/>
        <v>0</v>
      </c>
    </row>
    <row r="92" spans="1:38" s="37" customFormat="1" x14ac:dyDescent="0.2">
      <c r="A92" s="128" t="s">
        <v>108</v>
      </c>
      <c r="B92" s="288"/>
      <c r="C92" s="146"/>
      <c r="D92" s="43"/>
      <c r="E92" s="43"/>
      <c r="F92" s="213"/>
      <c r="G92" s="43"/>
      <c r="H92" s="45"/>
      <c r="I92" s="45">
        <v>0</v>
      </c>
      <c r="J92" s="45">
        <v>0</v>
      </c>
      <c r="K92" s="58"/>
      <c r="L92" s="43"/>
      <c r="M92" s="45"/>
      <c r="N92" s="45">
        <v>0</v>
      </c>
      <c r="O92" s="46"/>
      <c r="P92" s="55"/>
      <c r="Q92" s="45"/>
      <c r="R92" s="55"/>
      <c r="S92" s="58">
        <v>0</v>
      </c>
      <c r="T92" s="45"/>
      <c r="U92" s="43"/>
      <c r="V92" s="45"/>
      <c r="W92" s="45"/>
      <c r="X92" s="45"/>
      <c r="Y92" s="45"/>
      <c r="Z92" s="46"/>
      <c r="AA92" s="146"/>
      <c r="AB92" s="45"/>
      <c r="AC92" s="46"/>
      <c r="AD92" s="146"/>
      <c r="AE92" s="146"/>
      <c r="AF92" s="45"/>
      <c r="AG92" s="58"/>
      <c r="AH92" s="43"/>
      <c r="AI92" s="45"/>
      <c r="AJ92" s="45"/>
      <c r="AK92" s="45"/>
      <c r="AL92" s="101">
        <f t="shared" si="10"/>
        <v>0</v>
      </c>
    </row>
    <row r="93" spans="1:38" s="37" customFormat="1" ht="25.5" x14ac:dyDescent="0.2">
      <c r="A93" s="128" t="s">
        <v>77</v>
      </c>
      <c r="B93" s="288"/>
      <c r="C93" s="146"/>
      <c r="D93" s="43">
        <v>15545.257169999999</v>
      </c>
      <c r="E93" s="43"/>
      <c r="F93" s="213">
        <v>15545.26</v>
      </c>
      <c r="G93" s="43"/>
      <c r="H93" s="44"/>
      <c r="I93" s="45"/>
      <c r="J93" s="45"/>
      <c r="K93" s="58"/>
      <c r="L93" s="43"/>
      <c r="M93" s="45"/>
      <c r="N93" s="45"/>
      <c r="O93" s="46"/>
      <c r="P93" s="55"/>
      <c r="Q93" s="45"/>
      <c r="R93" s="55"/>
      <c r="S93" s="58"/>
      <c r="T93" s="45"/>
      <c r="U93" s="43"/>
      <c r="V93" s="45"/>
      <c r="W93" s="45"/>
      <c r="X93" s="45"/>
      <c r="Y93" s="45"/>
      <c r="Z93" s="46"/>
      <c r="AA93" s="146"/>
      <c r="AB93" s="45"/>
      <c r="AC93" s="46"/>
      <c r="AD93" s="146"/>
      <c r="AE93" s="146"/>
      <c r="AF93" s="45"/>
      <c r="AG93" s="58"/>
      <c r="AH93" s="43"/>
      <c r="AI93" s="45"/>
      <c r="AJ93" s="45"/>
      <c r="AK93" s="45"/>
      <c r="AL93" s="101">
        <f t="shared" si="10"/>
        <v>-2.8300000012677629E-3</v>
      </c>
    </row>
    <row r="94" spans="1:38" s="37" customFormat="1" ht="25.5" x14ac:dyDescent="0.2">
      <c r="A94" s="128" t="s">
        <v>79</v>
      </c>
      <c r="B94" s="288"/>
      <c r="C94" s="146"/>
      <c r="D94" s="43">
        <v>10290.78996</v>
      </c>
      <c r="E94" s="43">
        <v>1156.56</v>
      </c>
      <c r="F94" s="213">
        <v>11447.35</v>
      </c>
      <c r="G94" s="43"/>
      <c r="H94" s="44"/>
      <c r="I94" s="45"/>
      <c r="J94" s="45"/>
      <c r="K94" s="58"/>
      <c r="L94" s="43"/>
      <c r="M94" s="45"/>
      <c r="N94" s="45"/>
      <c r="O94" s="46"/>
      <c r="P94" s="55"/>
      <c r="Q94" s="45"/>
      <c r="R94" s="55"/>
      <c r="S94" s="58"/>
      <c r="T94" s="45"/>
      <c r="U94" s="43"/>
      <c r="V94" s="45"/>
      <c r="W94" s="45"/>
      <c r="X94" s="45"/>
      <c r="Y94" s="45"/>
      <c r="Z94" s="46"/>
      <c r="AA94" s="146"/>
      <c r="AB94" s="45"/>
      <c r="AC94" s="46"/>
      <c r="AD94" s="146"/>
      <c r="AE94" s="146"/>
      <c r="AF94" s="45"/>
      <c r="AG94" s="58"/>
      <c r="AH94" s="43"/>
      <c r="AI94" s="45"/>
      <c r="AJ94" s="45"/>
      <c r="AK94" s="45"/>
      <c r="AL94" s="101">
        <f t="shared" si="10"/>
        <v>-4.000000080850441E-5</v>
      </c>
    </row>
    <row r="95" spans="1:38" s="37" customFormat="1" x14ac:dyDescent="0.2">
      <c r="A95" s="280" t="s">
        <v>78</v>
      </c>
      <c r="B95" s="290" t="s">
        <v>269</v>
      </c>
      <c r="C95" s="146"/>
      <c r="D95" s="43"/>
      <c r="E95" s="43"/>
      <c r="F95" s="213"/>
      <c r="G95" s="43"/>
      <c r="H95" s="44">
        <v>359.74</v>
      </c>
      <c r="I95" s="45"/>
      <c r="J95" s="45"/>
      <c r="K95" s="44">
        <v>359.74</v>
      </c>
      <c r="L95" s="43"/>
      <c r="M95" s="45"/>
      <c r="N95" s="45"/>
      <c r="O95" s="46"/>
      <c r="P95" s="55"/>
      <c r="Q95" s="45"/>
      <c r="R95" s="55"/>
      <c r="S95" s="58"/>
      <c r="T95" s="45"/>
      <c r="U95" s="43"/>
      <c r="V95" s="45"/>
      <c r="W95" s="45"/>
      <c r="X95" s="45"/>
      <c r="Y95" s="45"/>
      <c r="Z95" s="46"/>
      <c r="AA95" s="146"/>
      <c r="AB95" s="45"/>
      <c r="AC95" s="46"/>
      <c r="AD95" s="146"/>
      <c r="AE95" s="146"/>
      <c r="AF95" s="45"/>
      <c r="AG95" s="58"/>
      <c r="AH95" s="43"/>
      <c r="AI95" s="45"/>
      <c r="AJ95" s="45"/>
      <c r="AK95" s="45"/>
      <c r="AL95" s="101">
        <f t="shared" si="10"/>
        <v>-359.74</v>
      </c>
    </row>
    <row r="96" spans="1:38" s="37" customFormat="1" x14ac:dyDescent="0.2">
      <c r="A96" s="280" t="s">
        <v>80</v>
      </c>
      <c r="B96" s="290" t="s">
        <v>281</v>
      </c>
      <c r="C96" s="146"/>
      <c r="D96" s="43"/>
      <c r="E96" s="43">
        <v>2148.46</v>
      </c>
      <c r="F96" s="213"/>
      <c r="G96" s="43"/>
      <c r="H96" s="44"/>
      <c r="I96" s="45"/>
      <c r="J96" s="45">
        <v>8917.2000000000007</v>
      </c>
      <c r="K96" s="58"/>
      <c r="L96" s="43"/>
      <c r="M96" s="45"/>
      <c r="N96" s="45"/>
      <c r="O96" s="46">
        <v>11142</v>
      </c>
      <c r="P96" s="55"/>
      <c r="Q96" s="45"/>
      <c r="R96" s="55"/>
      <c r="S96" s="58"/>
      <c r="T96" s="45"/>
      <c r="U96" s="43"/>
      <c r="V96" s="45"/>
      <c r="W96" s="45"/>
      <c r="X96" s="45"/>
      <c r="Y96" s="45"/>
      <c r="Z96" s="46"/>
      <c r="AA96" s="146"/>
      <c r="AB96" s="45"/>
      <c r="AC96" s="46"/>
      <c r="AD96" s="146"/>
      <c r="AE96" s="146"/>
      <c r="AF96" s="45"/>
      <c r="AG96" s="58"/>
      <c r="AH96" s="43"/>
      <c r="AI96" s="45"/>
      <c r="AJ96" s="45"/>
      <c r="AK96" s="45"/>
      <c r="AL96" s="101">
        <f t="shared" si="10"/>
        <v>-76.340000000000146</v>
      </c>
    </row>
    <row r="97" spans="1:38" s="37" customFormat="1" ht="25.5" x14ac:dyDescent="0.2">
      <c r="A97" s="128" t="s">
        <v>81</v>
      </c>
      <c r="B97" s="288"/>
      <c r="C97" s="146"/>
      <c r="D97" s="43"/>
      <c r="E97" s="43"/>
      <c r="F97" s="213"/>
      <c r="G97" s="43"/>
      <c r="H97" s="44"/>
      <c r="I97" s="45"/>
      <c r="J97" s="45"/>
      <c r="K97" s="58"/>
      <c r="L97" s="43"/>
      <c r="M97" s="45"/>
      <c r="N97" s="45">
        <v>3473</v>
      </c>
      <c r="O97" s="46"/>
      <c r="P97" s="55"/>
      <c r="Q97" s="45"/>
      <c r="R97" s="55"/>
      <c r="S97" s="58">
        <v>3473</v>
      </c>
      <c r="T97" s="45"/>
      <c r="U97" s="43"/>
      <c r="V97" s="45"/>
      <c r="W97" s="45"/>
      <c r="X97" s="45"/>
      <c r="Y97" s="45"/>
      <c r="Z97" s="46"/>
      <c r="AA97" s="146"/>
      <c r="AB97" s="45"/>
      <c r="AC97" s="46"/>
      <c r="AD97" s="146"/>
      <c r="AE97" s="146"/>
      <c r="AF97" s="45"/>
      <c r="AG97" s="58"/>
      <c r="AH97" s="43"/>
      <c r="AI97" s="45"/>
      <c r="AJ97" s="45"/>
      <c r="AK97" s="45"/>
      <c r="AL97" s="101">
        <f t="shared" si="10"/>
        <v>0</v>
      </c>
    </row>
    <row r="98" spans="1:38" s="37" customFormat="1" x14ac:dyDescent="0.2">
      <c r="A98" s="128" t="s">
        <v>82</v>
      </c>
      <c r="B98" s="288"/>
      <c r="C98" s="146"/>
      <c r="D98" s="43"/>
      <c r="E98" s="43"/>
      <c r="F98" s="213"/>
      <c r="G98" s="43"/>
      <c r="H98" s="44"/>
      <c r="I98" s="45"/>
      <c r="J98" s="45"/>
      <c r="K98" s="58"/>
      <c r="L98" s="43"/>
      <c r="M98" s="45"/>
      <c r="N98" s="45">
        <v>4096</v>
      </c>
      <c r="O98" s="46"/>
      <c r="P98" s="55"/>
      <c r="Q98" s="45"/>
      <c r="R98" s="55"/>
      <c r="S98" s="58">
        <v>4096</v>
      </c>
      <c r="T98" s="45"/>
      <c r="U98" s="43"/>
      <c r="V98" s="45"/>
      <c r="W98" s="45"/>
      <c r="X98" s="45"/>
      <c r="Y98" s="45"/>
      <c r="Z98" s="46"/>
      <c r="AA98" s="146"/>
      <c r="AB98" s="45"/>
      <c r="AC98" s="46"/>
      <c r="AD98" s="146"/>
      <c r="AE98" s="146"/>
      <c r="AF98" s="45"/>
      <c r="AG98" s="58"/>
      <c r="AH98" s="43"/>
      <c r="AI98" s="45"/>
      <c r="AJ98" s="45"/>
      <c r="AK98" s="45"/>
      <c r="AL98" s="101">
        <f t="shared" si="10"/>
        <v>0</v>
      </c>
    </row>
    <row r="99" spans="1:38" s="37" customFormat="1" x14ac:dyDescent="0.2">
      <c r="A99" s="128" t="s">
        <v>83</v>
      </c>
      <c r="B99" s="288"/>
      <c r="C99" s="146"/>
      <c r="D99" s="43"/>
      <c r="E99" s="43"/>
      <c r="F99" s="213"/>
      <c r="G99" s="43"/>
      <c r="H99" s="44"/>
      <c r="I99" s="45"/>
      <c r="J99" s="45"/>
      <c r="K99" s="58"/>
      <c r="L99" s="43"/>
      <c r="M99" s="45"/>
      <c r="N99" s="45">
        <v>3819</v>
      </c>
      <c r="O99" s="46"/>
      <c r="P99" s="55"/>
      <c r="Q99" s="45"/>
      <c r="R99" s="55"/>
      <c r="S99" s="58">
        <v>3819</v>
      </c>
      <c r="T99" s="45"/>
      <c r="U99" s="43"/>
      <c r="V99" s="45"/>
      <c r="W99" s="45"/>
      <c r="X99" s="45"/>
      <c r="Y99" s="45"/>
      <c r="Z99" s="46"/>
      <c r="AA99" s="146"/>
      <c r="AB99" s="45"/>
      <c r="AC99" s="46"/>
      <c r="AD99" s="146"/>
      <c r="AE99" s="146"/>
      <c r="AF99" s="45"/>
      <c r="AG99" s="58"/>
      <c r="AH99" s="43"/>
      <c r="AI99" s="45"/>
      <c r="AJ99" s="45"/>
      <c r="AK99" s="45"/>
      <c r="AL99" s="101">
        <f t="shared" si="10"/>
        <v>0</v>
      </c>
    </row>
    <row r="100" spans="1:38" s="37" customFormat="1" x14ac:dyDescent="0.2">
      <c r="A100" s="128" t="s">
        <v>84</v>
      </c>
      <c r="B100" s="288"/>
      <c r="C100" s="146"/>
      <c r="D100" s="43"/>
      <c r="E100" s="43"/>
      <c r="F100" s="213"/>
      <c r="G100" s="43"/>
      <c r="H100" s="44"/>
      <c r="I100" s="45"/>
      <c r="J100" s="45"/>
      <c r="K100" s="58"/>
      <c r="L100" s="43"/>
      <c r="M100" s="45"/>
      <c r="N100" s="45">
        <v>7264</v>
      </c>
      <c r="O100" s="46"/>
      <c r="P100" s="55"/>
      <c r="Q100" s="45"/>
      <c r="R100" s="55"/>
      <c r="S100" s="58">
        <v>7264</v>
      </c>
      <c r="T100" s="45"/>
      <c r="U100" s="43"/>
      <c r="V100" s="45"/>
      <c r="W100" s="45"/>
      <c r="X100" s="45"/>
      <c r="Y100" s="45"/>
      <c r="Z100" s="46"/>
      <c r="AA100" s="146"/>
      <c r="AB100" s="45"/>
      <c r="AC100" s="46"/>
      <c r="AD100" s="146"/>
      <c r="AE100" s="146"/>
      <c r="AF100" s="45"/>
      <c r="AG100" s="58"/>
      <c r="AH100" s="43"/>
      <c r="AI100" s="45"/>
      <c r="AJ100" s="45"/>
      <c r="AK100" s="45"/>
      <c r="AL100" s="101">
        <f t="shared" si="10"/>
        <v>0</v>
      </c>
    </row>
    <row r="101" spans="1:38" s="37" customFormat="1" x14ac:dyDescent="0.2">
      <c r="A101" s="128" t="s">
        <v>85</v>
      </c>
      <c r="B101" s="288"/>
      <c r="C101" s="146"/>
      <c r="D101" s="43"/>
      <c r="E101" s="43"/>
      <c r="F101" s="213"/>
      <c r="G101" s="43"/>
      <c r="H101" s="44"/>
      <c r="I101" s="45"/>
      <c r="J101" s="45"/>
      <c r="K101" s="58"/>
      <c r="L101" s="43"/>
      <c r="M101" s="45">
        <v>26810</v>
      </c>
      <c r="N101" s="45">
        <v>12270</v>
      </c>
      <c r="O101" s="46"/>
      <c r="P101" s="55"/>
      <c r="Q101" s="45"/>
      <c r="R101" s="55"/>
      <c r="S101" s="58">
        <v>12270</v>
      </c>
      <c r="T101" s="45"/>
      <c r="U101" s="43"/>
      <c r="V101" s="45"/>
      <c r="W101" s="45"/>
      <c r="X101" s="45"/>
      <c r="Y101" s="45"/>
      <c r="Z101" s="46"/>
      <c r="AA101" s="146"/>
      <c r="AB101" s="45"/>
      <c r="AC101" s="46"/>
      <c r="AD101" s="146"/>
      <c r="AE101" s="146"/>
      <c r="AF101" s="45"/>
      <c r="AG101" s="58"/>
      <c r="AH101" s="43"/>
      <c r="AI101" s="45"/>
      <c r="AJ101" s="45"/>
      <c r="AK101" s="45"/>
      <c r="AL101" s="101">
        <f t="shared" si="10"/>
        <v>0</v>
      </c>
    </row>
    <row r="102" spans="1:38" s="37" customFormat="1" x14ac:dyDescent="0.2">
      <c r="A102" s="128" t="s">
        <v>86</v>
      </c>
      <c r="B102" s="288"/>
      <c r="C102" s="146"/>
      <c r="D102" s="43"/>
      <c r="E102" s="43"/>
      <c r="F102" s="213"/>
      <c r="G102" s="43"/>
      <c r="H102" s="44"/>
      <c r="I102" s="45"/>
      <c r="J102" s="45"/>
      <c r="K102" s="58"/>
      <c r="L102" s="43"/>
      <c r="M102" s="45"/>
      <c r="N102" s="45">
        <v>1561</v>
      </c>
      <c r="O102" s="46"/>
      <c r="P102" s="55"/>
      <c r="Q102" s="45"/>
      <c r="R102" s="55"/>
      <c r="S102" s="58">
        <v>1561</v>
      </c>
      <c r="T102" s="45"/>
      <c r="U102" s="43"/>
      <c r="V102" s="45"/>
      <c r="W102" s="45"/>
      <c r="X102" s="45"/>
      <c r="Y102" s="45"/>
      <c r="Z102" s="46"/>
      <c r="AA102" s="146"/>
      <c r="AB102" s="45"/>
      <c r="AC102" s="46"/>
      <c r="AD102" s="146"/>
      <c r="AE102" s="146"/>
      <c r="AF102" s="45"/>
      <c r="AG102" s="58"/>
      <c r="AH102" s="43"/>
      <c r="AI102" s="45"/>
      <c r="AJ102" s="45"/>
      <c r="AK102" s="45"/>
      <c r="AL102" s="101">
        <f t="shared" si="10"/>
        <v>0</v>
      </c>
    </row>
    <row r="103" spans="1:38" s="37" customFormat="1" x14ac:dyDescent="0.2">
      <c r="A103" s="128" t="s">
        <v>87</v>
      </c>
      <c r="B103" s="288"/>
      <c r="C103" s="146"/>
      <c r="D103" s="43"/>
      <c r="E103" s="43"/>
      <c r="F103" s="213"/>
      <c r="G103" s="43"/>
      <c r="H103" s="44"/>
      <c r="I103" s="45"/>
      <c r="J103" s="45"/>
      <c r="K103" s="58"/>
      <c r="L103" s="43"/>
      <c r="M103" s="45">
        <v>21262</v>
      </c>
      <c r="N103" s="45">
        <v>7683</v>
      </c>
      <c r="O103" s="46"/>
      <c r="P103" s="55"/>
      <c r="Q103" s="45"/>
      <c r="R103" s="55"/>
      <c r="S103" s="58">
        <v>7683</v>
      </c>
      <c r="T103" s="45"/>
      <c r="U103" s="43"/>
      <c r="V103" s="45"/>
      <c r="W103" s="45"/>
      <c r="X103" s="45"/>
      <c r="Y103" s="45"/>
      <c r="Z103" s="46"/>
      <c r="AA103" s="146"/>
      <c r="AB103" s="45"/>
      <c r="AC103" s="46"/>
      <c r="AD103" s="146"/>
      <c r="AE103" s="146"/>
      <c r="AF103" s="45"/>
      <c r="AG103" s="58"/>
      <c r="AH103" s="43"/>
      <c r="AI103" s="45"/>
      <c r="AJ103" s="45"/>
      <c r="AK103" s="45"/>
      <c r="AL103" s="101">
        <f t="shared" ref="AL103:AL135" si="12">D103+E103+J103+N103+R103+W103-F103-K103-O103-S103-Y103</f>
        <v>0</v>
      </c>
    </row>
    <row r="104" spans="1:38" s="37" customFormat="1" x14ac:dyDescent="0.2">
      <c r="A104" s="128" t="s">
        <v>88</v>
      </c>
      <c r="B104" s="288"/>
      <c r="C104" s="146"/>
      <c r="D104" s="43"/>
      <c r="E104" s="43"/>
      <c r="F104" s="213"/>
      <c r="G104" s="43"/>
      <c r="H104" s="44"/>
      <c r="I104" s="45"/>
      <c r="J104" s="45"/>
      <c r="K104" s="58"/>
      <c r="L104" s="43"/>
      <c r="M104" s="45">
        <v>50842</v>
      </c>
      <c r="N104" s="45">
        <v>10928</v>
      </c>
      <c r="O104" s="46"/>
      <c r="P104" s="55"/>
      <c r="Q104" s="45"/>
      <c r="R104" s="55"/>
      <c r="S104" s="58">
        <v>10928</v>
      </c>
      <c r="T104" s="45"/>
      <c r="U104" s="43"/>
      <c r="V104" s="45"/>
      <c r="W104" s="45"/>
      <c r="X104" s="45"/>
      <c r="Y104" s="45"/>
      <c r="Z104" s="46"/>
      <c r="AA104" s="146"/>
      <c r="AB104" s="45"/>
      <c r="AC104" s="46"/>
      <c r="AD104" s="146"/>
      <c r="AE104" s="146"/>
      <c r="AF104" s="45"/>
      <c r="AG104" s="58"/>
      <c r="AH104" s="43"/>
      <c r="AI104" s="45"/>
      <c r="AJ104" s="45"/>
      <c r="AK104" s="45"/>
      <c r="AL104" s="101">
        <f t="shared" si="12"/>
        <v>0</v>
      </c>
    </row>
    <row r="105" spans="1:38" s="37" customFormat="1" x14ac:dyDescent="0.2">
      <c r="A105" s="128" t="s">
        <v>89</v>
      </c>
      <c r="B105" s="288"/>
      <c r="C105" s="146"/>
      <c r="D105" s="43"/>
      <c r="E105" s="43"/>
      <c r="F105" s="213"/>
      <c r="G105" s="43"/>
      <c r="H105" s="44"/>
      <c r="I105" s="45"/>
      <c r="J105" s="45"/>
      <c r="K105" s="58"/>
      <c r="L105" s="43"/>
      <c r="M105" s="45">
        <v>10963</v>
      </c>
      <c r="N105" s="45">
        <v>3356</v>
      </c>
      <c r="O105" s="46"/>
      <c r="P105" s="55"/>
      <c r="Q105" s="45"/>
      <c r="R105" s="55"/>
      <c r="S105" s="58">
        <v>3356</v>
      </c>
      <c r="T105" s="45"/>
      <c r="U105" s="43"/>
      <c r="V105" s="45"/>
      <c r="W105" s="45"/>
      <c r="X105" s="45"/>
      <c r="Y105" s="45"/>
      <c r="Z105" s="46"/>
      <c r="AA105" s="146"/>
      <c r="AB105" s="45"/>
      <c r="AC105" s="46"/>
      <c r="AD105" s="146"/>
      <c r="AE105" s="146"/>
      <c r="AF105" s="45"/>
      <c r="AG105" s="58"/>
      <c r="AH105" s="43"/>
      <c r="AI105" s="45"/>
      <c r="AJ105" s="45"/>
      <c r="AK105" s="45"/>
      <c r="AL105" s="101">
        <f t="shared" si="12"/>
        <v>0</v>
      </c>
    </row>
    <row r="106" spans="1:38" s="37" customFormat="1" x14ac:dyDescent="0.2">
      <c r="A106" s="128" t="s">
        <v>90</v>
      </c>
      <c r="B106" s="288"/>
      <c r="C106" s="146"/>
      <c r="D106" s="43"/>
      <c r="E106" s="43"/>
      <c r="F106" s="213"/>
      <c r="G106" s="43"/>
      <c r="H106" s="44"/>
      <c r="I106" s="45"/>
      <c r="J106" s="45"/>
      <c r="K106" s="58"/>
      <c r="L106" s="43"/>
      <c r="M106" s="45"/>
      <c r="N106" s="45">
        <v>0</v>
      </c>
      <c r="O106" s="46"/>
      <c r="P106" s="55"/>
      <c r="Q106" s="45"/>
      <c r="R106" s="55"/>
      <c r="S106" s="58">
        <v>0</v>
      </c>
      <c r="T106" s="45"/>
      <c r="U106" s="43"/>
      <c r="V106" s="45"/>
      <c r="W106" s="45"/>
      <c r="X106" s="45"/>
      <c r="Y106" s="45"/>
      <c r="Z106" s="46"/>
      <c r="AA106" s="146"/>
      <c r="AB106" s="45"/>
      <c r="AC106" s="46"/>
      <c r="AD106" s="146"/>
      <c r="AE106" s="146"/>
      <c r="AF106" s="45"/>
      <c r="AG106" s="58"/>
      <c r="AH106" s="43"/>
      <c r="AI106" s="45"/>
      <c r="AJ106" s="45"/>
      <c r="AK106" s="45"/>
      <c r="AL106" s="101">
        <f t="shared" si="12"/>
        <v>0</v>
      </c>
    </row>
    <row r="107" spans="1:38" s="37" customFormat="1" x14ac:dyDescent="0.2">
      <c r="A107" s="128" t="s">
        <v>155</v>
      </c>
      <c r="B107" s="288"/>
      <c r="C107" s="146"/>
      <c r="D107" s="43"/>
      <c r="E107" s="43"/>
      <c r="F107" s="213"/>
      <c r="G107" s="43"/>
      <c r="H107" s="44"/>
      <c r="I107" s="45"/>
      <c r="J107" s="45"/>
      <c r="K107" s="58"/>
      <c r="L107" s="43"/>
      <c r="M107" s="45"/>
      <c r="N107" s="45">
        <v>0</v>
      </c>
      <c r="O107" s="46"/>
      <c r="P107" s="55"/>
      <c r="Q107" s="45"/>
      <c r="R107" s="55">
        <v>8191</v>
      </c>
      <c r="S107" s="58">
        <v>8191</v>
      </c>
      <c r="T107" s="45"/>
      <c r="U107" s="43"/>
      <c r="V107" s="45"/>
      <c r="W107" s="45"/>
      <c r="X107" s="45"/>
      <c r="Y107" s="45"/>
      <c r="Z107" s="46"/>
      <c r="AA107" s="146"/>
      <c r="AB107" s="45"/>
      <c r="AC107" s="46"/>
      <c r="AD107" s="146"/>
      <c r="AE107" s="146"/>
      <c r="AF107" s="45"/>
      <c r="AG107" s="58"/>
      <c r="AH107" s="43"/>
      <c r="AI107" s="45"/>
      <c r="AJ107" s="45"/>
      <c r="AK107" s="45"/>
      <c r="AL107" s="101">
        <f t="shared" si="12"/>
        <v>0</v>
      </c>
    </row>
    <row r="108" spans="1:38" s="37" customFormat="1" x14ac:dyDescent="0.2">
      <c r="A108" s="128" t="s">
        <v>156</v>
      </c>
      <c r="B108" s="288"/>
      <c r="C108" s="146"/>
      <c r="D108" s="43"/>
      <c r="E108" s="43"/>
      <c r="F108" s="213"/>
      <c r="G108" s="43"/>
      <c r="H108" s="45"/>
      <c r="I108" s="45"/>
      <c r="J108" s="45"/>
      <c r="K108" s="58"/>
      <c r="L108" s="43"/>
      <c r="M108" s="45"/>
      <c r="N108" s="6">
        <v>0</v>
      </c>
      <c r="O108" s="24"/>
      <c r="P108" s="56"/>
      <c r="Q108" s="45"/>
      <c r="R108" s="55">
        <v>0</v>
      </c>
      <c r="S108" s="58"/>
      <c r="T108" s="45"/>
      <c r="U108" s="43"/>
      <c r="V108" s="45"/>
      <c r="W108" s="45"/>
      <c r="X108" s="45"/>
      <c r="Y108" s="45"/>
      <c r="Z108" s="46"/>
      <c r="AA108" s="146"/>
      <c r="AB108" s="45"/>
      <c r="AC108" s="46"/>
      <c r="AD108" s="146"/>
      <c r="AE108" s="146"/>
      <c r="AF108" s="45"/>
      <c r="AG108" s="58"/>
      <c r="AH108" s="43"/>
      <c r="AI108" s="45"/>
      <c r="AJ108" s="45"/>
      <c r="AK108" s="45"/>
      <c r="AL108" s="101">
        <f t="shared" si="12"/>
        <v>0</v>
      </c>
    </row>
    <row r="109" spans="1:38" s="37" customFormat="1" ht="25.5" x14ac:dyDescent="0.2">
      <c r="A109" s="128" t="s">
        <v>157</v>
      </c>
      <c r="B109" s="288"/>
      <c r="C109" s="146"/>
      <c r="D109" s="43"/>
      <c r="E109" s="43"/>
      <c r="F109" s="213"/>
      <c r="G109" s="43"/>
      <c r="H109" s="44"/>
      <c r="I109" s="45"/>
      <c r="J109" s="45"/>
      <c r="K109" s="58"/>
      <c r="L109" s="43"/>
      <c r="M109" s="45"/>
      <c r="N109" s="45">
        <v>0</v>
      </c>
      <c r="O109" s="46"/>
      <c r="P109" s="55"/>
      <c r="Q109" s="45"/>
      <c r="R109" s="55">
        <v>9804</v>
      </c>
      <c r="S109" s="58">
        <v>9804</v>
      </c>
      <c r="T109" s="45"/>
      <c r="U109" s="43"/>
      <c r="V109" s="45"/>
      <c r="W109" s="45"/>
      <c r="X109" s="45"/>
      <c r="Y109" s="45"/>
      <c r="Z109" s="46"/>
      <c r="AA109" s="146"/>
      <c r="AB109" s="45"/>
      <c r="AC109" s="46"/>
      <c r="AD109" s="146"/>
      <c r="AE109" s="146"/>
      <c r="AF109" s="45"/>
      <c r="AG109" s="58"/>
      <c r="AH109" s="43"/>
      <c r="AI109" s="45"/>
      <c r="AJ109" s="45"/>
      <c r="AK109" s="45"/>
      <c r="AL109" s="101">
        <f t="shared" si="12"/>
        <v>0</v>
      </c>
    </row>
    <row r="110" spans="1:38" s="37" customFormat="1" x14ac:dyDescent="0.2">
      <c r="A110" s="128" t="s">
        <v>158</v>
      </c>
      <c r="B110" s="288"/>
      <c r="C110" s="146"/>
      <c r="D110" s="43"/>
      <c r="E110" s="43"/>
      <c r="F110" s="213"/>
      <c r="G110" s="43"/>
      <c r="H110" s="44"/>
      <c r="I110" s="45"/>
      <c r="J110" s="45"/>
      <c r="K110" s="58"/>
      <c r="L110" s="43"/>
      <c r="M110" s="45"/>
      <c r="N110" s="45">
        <v>0</v>
      </c>
      <c r="O110" s="46"/>
      <c r="P110" s="55"/>
      <c r="Q110" s="45"/>
      <c r="R110" s="55">
        <v>11853</v>
      </c>
      <c r="S110" s="58">
        <v>11853</v>
      </c>
      <c r="T110" s="45"/>
      <c r="U110" s="43"/>
      <c r="V110" s="45"/>
      <c r="W110" s="45"/>
      <c r="X110" s="45"/>
      <c r="Y110" s="45"/>
      <c r="Z110" s="46"/>
      <c r="AA110" s="146"/>
      <c r="AB110" s="45"/>
      <c r="AC110" s="46"/>
      <c r="AD110" s="146"/>
      <c r="AE110" s="146"/>
      <c r="AF110" s="45"/>
      <c r="AG110" s="58"/>
      <c r="AH110" s="43"/>
      <c r="AI110" s="45"/>
      <c r="AJ110" s="45"/>
      <c r="AK110" s="45"/>
      <c r="AL110" s="101">
        <f t="shared" si="12"/>
        <v>0</v>
      </c>
    </row>
    <row r="111" spans="1:38" s="37" customFormat="1" ht="25.5" x14ac:dyDescent="0.2">
      <c r="A111" s="128" t="s">
        <v>159</v>
      </c>
      <c r="B111" s="288"/>
      <c r="C111" s="146"/>
      <c r="D111" s="43"/>
      <c r="E111" s="43"/>
      <c r="F111" s="213"/>
      <c r="G111" s="43"/>
      <c r="H111" s="44"/>
      <c r="I111" s="45"/>
      <c r="J111" s="45"/>
      <c r="K111" s="58"/>
      <c r="L111" s="43"/>
      <c r="M111" s="45"/>
      <c r="N111" s="45">
        <v>0</v>
      </c>
      <c r="O111" s="46"/>
      <c r="P111" s="55"/>
      <c r="Q111" s="45"/>
      <c r="R111" s="55">
        <v>15042</v>
      </c>
      <c r="S111" s="58">
        <v>15042</v>
      </c>
      <c r="T111" s="45"/>
      <c r="U111" s="43"/>
      <c r="V111" s="45"/>
      <c r="W111" s="45"/>
      <c r="X111" s="45"/>
      <c r="Y111" s="45"/>
      <c r="Z111" s="46"/>
      <c r="AA111" s="146"/>
      <c r="AB111" s="45"/>
      <c r="AC111" s="46"/>
      <c r="AD111" s="146"/>
      <c r="AE111" s="146"/>
      <c r="AF111" s="45"/>
      <c r="AG111" s="58"/>
      <c r="AH111" s="43"/>
      <c r="AI111" s="45"/>
      <c r="AJ111" s="45"/>
      <c r="AK111" s="45"/>
      <c r="AL111" s="101">
        <f t="shared" si="12"/>
        <v>0</v>
      </c>
    </row>
    <row r="112" spans="1:38" s="37" customFormat="1" ht="25.5" x14ac:dyDescent="0.2">
      <c r="A112" s="284" t="s">
        <v>207</v>
      </c>
      <c r="B112" s="297"/>
      <c r="C112" s="146"/>
      <c r="D112" s="43"/>
      <c r="E112" s="43"/>
      <c r="F112" s="213"/>
      <c r="G112" s="43"/>
      <c r="H112" s="44"/>
      <c r="I112" s="45"/>
      <c r="J112" s="45"/>
      <c r="K112" s="58"/>
      <c r="L112" s="98">
        <v>525</v>
      </c>
      <c r="M112" s="45"/>
      <c r="N112" s="45">
        <v>0</v>
      </c>
      <c r="O112" s="46"/>
      <c r="P112" s="99">
        <v>23145</v>
      </c>
      <c r="Q112" s="45"/>
      <c r="R112" s="55">
        <v>87975</v>
      </c>
      <c r="S112" s="275">
        <v>0</v>
      </c>
      <c r="T112" s="45"/>
      <c r="U112" s="98">
        <v>26220</v>
      </c>
      <c r="V112" s="45"/>
      <c r="W112" s="45"/>
      <c r="X112" s="45">
        <v>95540</v>
      </c>
      <c r="Y112" s="45">
        <v>87975</v>
      </c>
      <c r="Z112" s="46"/>
      <c r="AA112" s="276">
        <v>60255</v>
      </c>
      <c r="AB112" s="45">
        <v>295205</v>
      </c>
      <c r="AC112" s="46">
        <v>95540</v>
      </c>
      <c r="AD112" s="276"/>
      <c r="AE112" s="146"/>
      <c r="AF112" s="45">
        <v>365500</v>
      </c>
      <c r="AG112" s="58">
        <v>275205</v>
      </c>
      <c r="AH112" s="98"/>
      <c r="AI112" s="45"/>
      <c r="AJ112" s="45"/>
      <c r="AK112" s="45">
        <v>365500</v>
      </c>
      <c r="AL112" s="101">
        <f t="shared" si="12"/>
        <v>0</v>
      </c>
    </row>
    <row r="113" spans="1:38" s="37" customFormat="1" x14ac:dyDescent="0.2">
      <c r="A113" s="38" t="s">
        <v>208</v>
      </c>
      <c r="B113" s="291"/>
      <c r="C113" s="146"/>
      <c r="D113" s="43"/>
      <c r="E113" s="43"/>
      <c r="F113" s="213"/>
      <c r="G113" s="43"/>
      <c r="H113" s="44"/>
      <c r="I113" s="45"/>
      <c r="J113" s="45"/>
      <c r="K113" s="58"/>
      <c r="L113" s="43"/>
      <c r="M113" s="45"/>
      <c r="N113" s="89">
        <v>0</v>
      </c>
      <c r="O113" s="46"/>
      <c r="P113" s="55"/>
      <c r="Q113" s="45"/>
      <c r="R113" s="55">
        <v>8000</v>
      </c>
      <c r="S113" s="58">
        <v>4000</v>
      </c>
      <c r="T113" s="45"/>
      <c r="U113" s="43"/>
      <c r="V113" s="45"/>
      <c r="W113" s="45"/>
      <c r="X113" s="45">
        <v>63500</v>
      </c>
      <c r="Y113" s="45">
        <v>4000</v>
      </c>
      <c r="Z113" s="46"/>
      <c r="AA113" s="146"/>
      <c r="AB113" s="45">
        <v>97500</v>
      </c>
      <c r="AC113" s="46">
        <v>63500</v>
      </c>
      <c r="AD113" s="146"/>
      <c r="AE113" s="146"/>
      <c r="AF113" s="45">
        <v>80000</v>
      </c>
      <c r="AG113" s="58">
        <v>97500</v>
      </c>
      <c r="AH113" s="43"/>
      <c r="AI113" s="45"/>
      <c r="AJ113" s="45"/>
      <c r="AK113" s="45">
        <v>80000</v>
      </c>
      <c r="AL113" s="101">
        <f t="shared" si="12"/>
        <v>0</v>
      </c>
    </row>
    <row r="114" spans="1:38" ht="25.5" x14ac:dyDescent="0.2">
      <c r="A114" s="148" t="s">
        <v>179</v>
      </c>
      <c r="B114" s="292"/>
      <c r="C114" s="159"/>
      <c r="D114" s="23"/>
      <c r="E114" s="23"/>
      <c r="F114" s="214"/>
      <c r="G114" s="23"/>
      <c r="H114" s="6"/>
      <c r="I114" s="6">
        <v>45000</v>
      </c>
      <c r="J114" s="6"/>
      <c r="K114" s="59"/>
      <c r="L114" s="23"/>
      <c r="M114" s="6">
        <v>0</v>
      </c>
      <c r="N114" s="6"/>
      <c r="O114" s="24"/>
      <c r="P114" s="56"/>
      <c r="Q114" s="6">
        <v>0</v>
      </c>
      <c r="R114" s="56"/>
      <c r="S114" s="59"/>
      <c r="T114" s="6"/>
      <c r="U114" s="23"/>
      <c r="V114" s="6">
        <v>0</v>
      </c>
      <c r="W114" s="6"/>
      <c r="X114" s="6"/>
      <c r="Y114" s="6"/>
      <c r="Z114" s="24"/>
      <c r="AA114" s="159"/>
      <c r="AB114" s="6"/>
      <c r="AC114" s="24"/>
      <c r="AD114" s="159"/>
      <c r="AE114" s="159"/>
      <c r="AF114" s="6"/>
      <c r="AG114" s="59"/>
      <c r="AH114" s="23"/>
      <c r="AI114" s="6"/>
      <c r="AJ114" s="6"/>
      <c r="AK114" s="6"/>
      <c r="AL114" s="101">
        <f t="shared" si="12"/>
        <v>0</v>
      </c>
    </row>
    <row r="115" spans="1:38" ht="25.5" x14ac:dyDescent="0.2">
      <c r="A115" s="16" t="s">
        <v>180</v>
      </c>
      <c r="B115" s="292"/>
      <c r="C115" s="159"/>
      <c r="D115" s="23"/>
      <c r="E115" s="23"/>
      <c r="F115" s="214"/>
      <c r="G115" s="23"/>
      <c r="H115" s="6"/>
      <c r="I115" s="6">
        <v>0</v>
      </c>
      <c r="J115" s="6"/>
      <c r="K115" s="59"/>
      <c r="L115" s="47"/>
      <c r="M115" s="6">
        <v>500</v>
      </c>
      <c r="N115" s="6"/>
      <c r="O115" s="24"/>
      <c r="P115" s="56"/>
      <c r="Q115" s="6">
        <v>30000</v>
      </c>
      <c r="R115" s="56"/>
      <c r="S115" s="59"/>
      <c r="T115" s="6"/>
      <c r="U115" s="23"/>
      <c r="V115" s="6">
        <v>0</v>
      </c>
      <c r="W115" s="6"/>
      <c r="X115" s="6"/>
      <c r="Y115" s="6"/>
      <c r="Z115" s="24"/>
      <c r="AA115" s="159"/>
      <c r="AB115" s="6"/>
      <c r="AC115" s="24"/>
      <c r="AD115" s="159"/>
      <c r="AE115" s="159"/>
      <c r="AF115" s="6"/>
      <c r="AG115" s="59"/>
      <c r="AH115" s="23"/>
      <c r="AI115" s="6"/>
      <c r="AJ115" s="6"/>
      <c r="AK115" s="6"/>
      <c r="AL115" s="101">
        <f t="shared" si="12"/>
        <v>0</v>
      </c>
    </row>
    <row r="116" spans="1:38" ht="25.5" x14ac:dyDescent="0.2">
      <c r="A116" s="16" t="s">
        <v>181</v>
      </c>
      <c r="B116" s="292"/>
      <c r="C116" s="159"/>
      <c r="D116" s="23"/>
      <c r="E116" s="23"/>
      <c r="F116" s="214"/>
      <c r="G116" s="23"/>
      <c r="H116" s="6"/>
      <c r="I116" s="6">
        <v>0</v>
      </c>
      <c r="J116" s="6"/>
      <c r="K116" s="59"/>
      <c r="L116" s="47"/>
      <c r="M116" s="6">
        <v>2090</v>
      </c>
      <c r="N116" s="6"/>
      <c r="O116" s="24"/>
      <c r="P116" s="56"/>
      <c r="Q116" s="6">
        <v>26000</v>
      </c>
      <c r="R116" s="56"/>
      <c r="S116" s="59"/>
      <c r="T116" s="6"/>
      <c r="U116" s="23"/>
      <c r="V116" s="6">
        <v>27610</v>
      </c>
      <c r="W116" s="6"/>
      <c r="X116" s="6"/>
      <c r="Y116" s="6"/>
      <c r="Z116" s="24"/>
      <c r="AA116" s="159"/>
      <c r="AB116" s="6"/>
      <c r="AC116" s="24"/>
      <c r="AD116" s="159"/>
      <c r="AE116" s="159"/>
      <c r="AF116" s="6"/>
      <c r="AG116" s="59"/>
      <c r="AH116" s="23"/>
      <c r="AI116" s="6"/>
      <c r="AJ116" s="6"/>
      <c r="AK116" s="6"/>
      <c r="AL116" s="101">
        <f t="shared" si="12"/>
        <v>0</v>
      </c>
    </row>
    <row r="117" spans="1:38" ht="38.25" x14ac:dyDescent="0.2">
      <c r="A117" s="16" t="s">
        <v>182</v>
      </c>
      <c r="B117" s="292"/>
      <c r="C117" s="159"/>
      <c r="D117" s="23"/>
      <c r="E117" s="23"/>
      <c r="F117" s="214"/>
      <c r="G117" s="23"/>
      <c r="H117" s="6"/>
      <c r="I117" s="6">
        <v>31098</v>
      </c>
      <c r="J117" s="6"/>
      <c r="K117" s="59"/>
      <c r="L117" s="23"/>
      <c r="M117" s="6">
        <v>15000</v>
      </c>
      <c r="N117" s="6"/>
      <c r="O117" s="24"/>
      <c r="P117" s="56"/>
      <c r="Q117" s="6">
        <v>0</v>
      </c>
      <c r="R117" s="56"/>
      <c r="S117" s="59"/>
      <c r="T117" s="6"/>
      <c r="U117" s="23"/>
      <c r="V117" s="6">
        <v>0</v>
      </c>
      <c r="W117" s="6"/>
      <c r="X117" s="6"/>
      <c r="Y117" s="6"/>
      <c r="Z117" s="24"/>
      <c r="AA117" s="159"/>
      <c r="AB117" s="6"/>
      <c r="AC117" s="24"/>
      <c r="AD117" s="159"/>
      <c r="AE117" s="159"/>
      <c r="AF117" s="6"/>
      <c r="AG117" s="59"/>
      <c r="AH117" s="23"/>
      <c r="AI117" s="6"/>
      <c r="AJ117" s="6"/>
      <c r="AK117" s="6"/>
      <c r="AL117" s="101">
        <f t="shared" si="12"/>
        <v>0</v>
      </c>
    </row>
    <row r="118" spans="1:38" ht="38.25" x14ac:dyDescent="0.2">
      <c r="A118" s="16" t="s">
        <v>183</v>
      </c>
      <c r="B118" s="292"/>
      <c r="C118" s="159"/>
      <c r="D118" s="23"/>
      <c r="E118" s="23"/>
      <c r="F118" s="214"/>
      <c r="G118" s="23"/>
      <c r="H118" s="6"/>
      <c r="I118" s="6">
        <v>0</v>
      </c>
      <c r="J118" s="6"/>
      <c r="K118" s="59"/>
      <c r="L118" s="23"/>
      <c r="M118" s="6">
        <v>9100</v>
      </c>
      <c r="N118" s="6"/>
      <c r="O118" s="24"/>
      <c r="P118" s="56"/>
      <c r="Q118" s="6">
        <v>0</v>
      </c>
      <c r="R118" s="56"/>
      <c r="S118" s="59"/>
      <c r="T118" s="6"/>
      <c r="U118" s="23"/>
      <c r="V118" s="6">
        <v>0</v>
      </c>
      <c r="W118" s="6"/>
      <c r="X118" s="6"/>
      <c r="Y118" s="6"/>
      <c r="Z118" s="24"/>
      <c r="AA118" s="159"/>
      <c r="AB118" s="6"/>
      <c r="AC118" s="24"/>
      <c r="AD118" s="159"/>
      <c r="AE118" s="159"/>
      <c r="AF118" s="6"/>
      <c r="AG118" s="59"/>
      <c r="AH118" s="23"/>
      <c r="AI118" s="6"/>
      <c r="AJ118" s="6"/>
      <c r="AK118" s="6"/>
      <c r="AL118" s="101">
        <f t="shared" si="12"/>
        <v>0</v>
      </c>
    </row>
    <row r="119" spans="1:38" ht="38.25" x14ac:dyDescent="0.2">
      <c r="A119" s="16" t="s">
        <v>184</v>
      </c>
      <c r="B119" s="292"/>
      <c r="C119" s="159"/>
      <c r="D119" s="23"/>
      <c r="E119" s="23"/>
      <c r="F119" s="214"/>
      <c r="G119" s="23"/>
      <c r="H119" s="6"/>
      <c r="I119" s="6">
        <v>10571</v>
      </c>
      <c r="J119" s="6"/>
      <c r="K119" s="59"/>
      <c r="L119" s="23"/>
      <c r="M119" s="6">
        <v>113428</v>
      </c>
      <c r="N119" s="6"/>
      <c r="O119" s="24"/>
      <c r="P119" s="56"/>
      <c r="Q119" s="6">
        <v>52000</v>
      </c>
      <c r="R119" s="56"/>
      <c r="S119" s="59"/>
      <c r="T119" s="6"/>
      <c r="U119" s="23"/>
      <c r="V119" s="6">
        <v>0</v>
      </c>
      <c r="W119" s="6"/>
      <c r="X119" s="6"/>
      <c r="Y119" s="6"/>
      <c r="Z119" s="24"/>
      <c r="AA119" s="159"/>
      <c r="AB119" s="6"/>
      <c r="AC119" s="24"/>
      <c r="AD119" s="159"/>
      <c r="AE119" s="159"/>
      <c r="AF119" s="6"/>
      <c r="AG119" s="59"/>
      <c r="AH119" s="23"/>
      <c r="AI119" s="6"/>
      <c r="AJ119" s="6"/>
      <c r="AK119" s="6"/>
      <c r="AL119" s="101">
        <f t="shared" si="12"/>
        <v>0</v>
      </c>
    </row>
    <row r="120" spans="1:38" ht="25.5" x14ac:dyDescent="0.2">
      <c r="A120" s="16" t="s">
        <v>185</v>
      </c>
      <c r="B120" s="292"/>
      <c r="C120" s="159"/>
      <c r="D120" s="23"/>
      <c r="E120" s="23"/>
      <c r="F120" s="214"/>
      <c r="G120" s="23"/>
      <c r="H120" s="6"/>
      <c r="I120" s="6">
        <v>53656</v>
      </c>
      <c r="J120" s="6"/>
      <c r="K120" s="59"/>
      <c r="L120" s="47"/>
      <c r="M120" s="6">
        <v>0</v>
      </c>
      <c r="N120" s="6"/>
      <c r="O120" s="24"/>
      <c r="P120" s="56"/>
      <c r="Q120" s="6">
        <v>0</v>
      </c>
      <c r="R120" s="56"/>
      <c r="S120" s="59"/>
      <c r="T120" s="6"/>
      <c r="U120" s="23"/>
      <c r="V120" s="6">
        <v>0</v>
      </c>
      <c r="W120" s="6"/>
      <c r="X120" s="6"/>
      <c r="Y120" s="6"/>
      <c r="Z120" s="24"/>
      <c r="AA120" s="159"/>
      <c r="AB120" s="6"/>
      <c r="AC120" s="24"/>
      <c r="AD120" s="159"/>
      <c r="AE120" s="159"/>
      <c r="AF120" s="6"/>
      <c r="AG120" s="59"/>
      <c r="AH120" s="23"/>
      <c r="AI120" s="6"/>
      <c r="AJ120" s="6"/>
      <c r="AK120" s="6"/>
      <c r="AL120" s="101">
        <f t="shared" si="12"/>
        <v>0</v>
      </c>
    </row>
    <row r="121" spans="1:38" ht="25.5" x14ac:dyDescent="0.2">
      <c r="A121" s="19" t="s">
        <v>186</v>
      </c>
      <c r="B121" s="294"/>
      <c r="C121" s="159"/>
      <c r="D121" s="23"/>
      <c r="E121" s="23"/>
      <c r="F121" s="214"/>
      <c r="G121" s="23"/>
      <c r="H121" s="6"/>
      <c r="I121" s="6">
        <v>0</v>
      </c>
      <c r="J121" s="6"/>
      <c r="K121" s="59"/>
      <c r="L121" s="47"/>
      <c r="M121" s="6">
        <v>25000</v>
      </c>
      <c r="N121" s="6"/>
      <c r="O121" s="24"/>
      <c r="P121" s="56"/>
      <c r="Q121" s="6">
        <v>0</v>
      </c>
      <c r="R121" s="56"/>
      <c r="S121" s="59"/>
      <c r="T121" s="6"/>
      <c r="U121" s="23"/>
      <c r="V121" s="6">
        <v>0</v>
      </c>
      <c r="W121" s="6"/>
      <c r="X121" s="6"/>
      <c r="Y121" s="6"/>
      <c r="Z121" s="24"/>
      <c r="AA121" s="159"/>
      <c r="AB121" s="6"/>
      <c r="AC121" s="24"/>
      <c r="AD121" s="159"/>
      <c r="AE121" s="159"/>
      <c r="AF121" s="6"/>
      <c r="AG121" s="59"/>
      <c r="AH121" s="23"/>
      <c r="AI121" s="6"/>
      <c r="AJ121" s="6"/>
      <c r="AK121" s="6"/>
      <c r="AL121" s="101">
        <f t="shared" si="12"/>
        <v>0</v>
      </c>
    </row>
    <row r="122" spans="1:38" ht="51" x14ac:dyDescent="0.2">
      <c r="A122" s="16" t="s">
        <v>187</v>
      </c>
      <c r="B122" s="292"/>
      <c r="C122" s="159"/>
      <c r="D122" s="23"/>
      <c r="E122" s="23"/>
      <c r="F122" s="214"/>
      <c r="G122" s="23"/>
      <c r="H122" s="6"/>
      <c r="I122" s="6">
        <v>0</v>
      </c>
      <c r="J122" s="6"/>
      <c r="K122" s="59"/>
      <c r="L122" s="47"/>
      <c r="M122" s="6">
        <v>15000</v>
      </c>
      <c r="N122" s="6"/>
      <c r="O122" s="24"/>
      <c r="P122" s="56"/>
      <c r="Q122" s="6">
        <v>23000</v>
      </c>
      <c r="R122" s="56"/>
      <c r="S122" s="59"/>
      <c r="T122" s="6"/>
      <c r="U122" s="23"/>
      <c r="V122" s="6">
        <v>0</v>
      </c>
      <c r="W122" s="6"/>
      <c r="X122" s="6"/>
      <c r="Y122" s="6"/>
      <c r="Z122" s="24"/>
      <c r="AA122" s="159"/>
      <c r="AB122" s="6"/>
      <c r="AC122" s="24"/>
      <c r="AD122" s="159"/>
      <c r="AE122" s="159"/>
      <c r="AF122" s="6"/>
      <c r="AG122" s="59"/>
      <c r="AH122" s="23"/>
      <c r="AI122" s="6"/>
      <c r="AJ122" s="6"/>
      <c r="AK122" s="6"/>
      <c r="AL122" s="101">
        <f t="shared" si="12"/>
        <v>0</v>
      </c>
    </row>
    <row r="123" spans="1:38" ht="25.5" x14ac:dyDescent="0.2">
      <c r="A123" s="277" t="s">
        <v>188</v>
      </c>
      <c r="B123" s="298"/>
      <c r="C123" s="159"/>
      <c r="D123" s="23"/>
      <c r="E123" s="23"/>
      <c r="F123" s="214"/>
      <c r="G123" s="241">
        <f>162175.28-30000</f>
        <v>132175.28</v>
      </c>
      <c r="H123" s="6"/>
      <c r="I123" s="6">
        <v>57200</v>
      </c>
      <c r="J123" s="6"/>
      <c r="K123" s="59"/>
      <c r="L123" s="23"/>
      <c r="M123" s="6">
        <v>500</v>
      </c>
      <c r="N123" s="6"/>
      <c r="O123" s="24"/>
      <c r="P123" s="56"/>
      <c r="Q123" s="6">
        <v>0</v>
      </c>
      <c r="R123" s="56"/>
      <c r="S123" s="59"/>
      <c r="T123" s="6"/>
      <c r="U123" s="23"/>
      <c r="V123" s="6">
        <v>0</v>
      </c>
      <c r="W123" s="6"/>
      <c r="X123" s="6"/>
      <c r="Y123" s="6"/>
      <c r="Z123" s="24"/>
      <c r="AA123" s="159"/>
      <c r="AB123" s="6"/>
      <c r="AC123" s="24"/>
      <c r="AD123" s="159"/>
      <c r="AE123" s="159"/>
      <c r="AF123" s="6"/>
      <c r="AG123" s="59"/>
      <c r="AH123" s="23"/>
      <c r="AI123" s="6"/>
      <c r="AJ123" s="6"/>
      <c r="AK123" s="6"/>
      <c r="AL123" s="101">
        <f t="shared" si="12"/>
        <v>0</v>
      </c>
    </row>
    <row r="124" spans="1:38" ht="25.5" x14ac:dyDescent="0.2">
      <c r="A124" s="16" t="s">
        <v>189</v>
      </c>
      <c r="B124" s="292"/>
      <c r="C124" s="159"/>
      <c r="D124" s="23"/>
      <c r="E124" s="23"/>
      <c r="F124" s="214"/>
      <c r="G124" s="23"/>
      <c r="H124" s="6"/>
      <c r="I124" s="6">
        <v>30678</v>
      </c>
      <c r="J124" s="6"/>
      <c r="K124" s="59"/>
      <c r="L124" s="47"/>
      <c r="M124" s="6">
        <v>0</v>
      </c>
      <c r="N124" s="6"/>
      <c r="O124" s="24"/>
      <c r="P124" s="56"/>
      <c r="Q124" s="6">
        <v>0</v>
      </c>
      <c r="R124" s="56"/>
      <c r="S124" s="59"/>
      <c r="T124" s="6"/>
      <c r="U124" s="23"/>
      <c r="V124" s="6">
        <v>0</v>
      </c>
      <c r="W124" s="6"/>
      <c r="X124" s="6"/>
      <c r="Y124" s="6"/>
      <c r="Z124" s="24"/>
      <c r="AA124" s="159"/>
      <c r="AB124" s="6"/>
      <c r="AC124" s="24"/>
      <c r="AD124" s="159"/>
      <c r="AE124" s="159"/>
      <c r="AF124" s="6"/>
      <c r="AG124" s="59"/>
      <c r="AH124" s="23"/>
      <c r="AI124" s="6"/>
      <c r="AJ124" s="6"/>
      <c r="AK124" s="6"/>
      <c r="AL124" s="101">
        <f t="shared" si="12"/>
        <v>0</v>
      </c>
    </row>
    <row r="125" spans="1:38" ht="25.5" x14ac:dyDescent="0.2">
      <c r="A125" s="16" t="s">
        <v>190</v>
      </c>
      <c r="B125" s="292"/>
      <c r="C125" s="159"/>
      <c r="D125" s="23"/>
      <c r="E125" s="23"/>
      <c r="F125" s="214"/>
      <c r="G125" s="23"/>
      <c r="H125" s="6"/>
      <c r="I125" s="6">
        <v>40000</v>
      </c>
      <c r="J125" s="6"/>
      <c r="K125" s="59"/>
      <c r="L125" s="23"/>
      <c r="M125" s="6">
        <v>0</v>
      </c>
      <c r="N125" s="6"/>
      <c r="O125" s="24"/>
      <c r="P125" s="56"/>
      <c r="Q125" s="6">
        <v>0</v>
      </c>
      <c r="R125" s="56"/>
      <c r="S125" s="59"/>
      <c r="T125" s="6"/>
      <c r="U125" s="23"/>
      <c r="V125" s="6">
        <v>0</v>
      </c>
      <c r="W125" s="6"/>
      <c r="X125" s="6"/>
      <c r="Y125" s="6"/>
      <c r="Z125" s="24"/>
      <c r="AA125" s="159"/>
      <c r="AB125" s="6"/>
      <c r="AC125" s="24"/>
      <c r="AD125" s="159"/>
      <c r="AE125" s="159"/>
      <c r="AF125" s="6"/>
      <c r="AG125" s="59"/>
      <c r="AH125" s="23"/>
      <c r="AI125" s="6"/>
      <c r="AJ125" s="6"/>
      <c r="AK125" s="6"/>
      <c r="AL125" s="101">
        <f t="shared" si="12"/>
        <v>0</v>
      </c>
    </row>
    <row r="126" spans="1:38" ht="38.25" x14ac:dyDescent="0.2">
      <c r="A126" s="16" t="s">
        <v>191</v>
      </c>
      <c r="B126" s="292"/>
      <c r="C126" s="159"/>
      <c r="D126" s="23"/>
      <c r="E126" s="23"/>
      <c r="F126" s="214"/>
      <c r="G126" s="23"/>
      <c r="H126" s="6"/>
      <c r="I126" s="6">
        <v>500</v>
      </c>
      <c r="J126" s="6"/>
      <c r="K126" s="59"/>
      <c r="L126" s="23"/>
      <c r="M126" s="6">
        <v>10000</v>
      </c>
      <c r="N126" s="6"/>
      <c r="O126" s="24"/>
      <c r="P126" s="56"/>
      <c r="Q126" s="6">
        <v>65000</v>
      </c>
      <c r="R126" s="56"/>
      <c r="S126" s="59"/>
      <c r="T126" s="6"/>
      <c r="U126" s="23"/>
      <c r="V126" s="6">
        <v>0</v>
      </c>
      <c r="W126" s="6"/>
      <c r="X126" s="6"/>
      <c r="Y126" s="6"/>
      <c r="Z126" s="24"/>
      <c r="AA126" s="159"/>
      <c r="AB126" s="6"/>
      <c r="AC126" s="24"/>
      <c r="AD126" s="159"/>
      <c r="AE126" s="159"/>
      <c r="AF126" s="6"/>
      <c r="AG126" s="59"/>
      <c r="AH126" s="23"/>
      <c r="AI126" s="6"/>
      <c r="AJ126" s="6"/>
      <c r="AK126" s="6"/>
      <c r="AL126" s="101">
        <f t="shared" si="12"/>
        <v>0</v>
      </c>
    </row>
    <row r="127" spans="1:38" ht="38.25" x14ac:dyDescent="0.2">
      <c r="A127" s="16" t="s">
        <v>192</v>
      </c>
      <c r="B127" s="292"/>
      <c r="C127" s="159"/>
      <c r="D127" s="23"/>
      <c r="E127" s="23"/>
      <c r="F127" s="214"/>
      <c r="G127" s="23"/>
      <c r="H127" s="6"/>
      <c r="I127" s="6">
        <v>6200</v>
      </c>
      <c r="J127" s="6"/>
      <c r="K127" s="59"/>
      <c r="L127" s="23"/>
      <c r="M127" s="6">
        <v>0</v>
      </c>
      <c r="N127" s="6"/>
      <c r="O127" s="24"/>
      <c r="P127" s="56"/>
      <c r="Q127" s="6">
        <v>0</v>
      </c>
      <c r="R127" s="56"/>
      <c r="S127" s="59"/>
      <c r="T127" s="6"/>
      <c r="U127" s="23"/>
      <c r="V127" s="6">
        <v>0</v>
      </c>
      <c r="W127" s="6"/>
      <c r="X127" s="6"/>
      <c r="Y127" s="6"/>
      <c r="Z127" s="24"/>
      <c r="AA127" s="159"/>
      <c r="AB127" s="6"/>
      <c r="AC127" s="24"/>
      <c r="AD127" s="159"/>
      <c r="AE127" s="159"/>
      <c r="AF127" s="6"/>
      <c r="AG127" s="59"/>
      <c r="AH127" s="23"/>
      <c r="AI127" s="6"/>
      <c r="AJ127" s="6"/>
      <c r="AK127" s="6"/>
      <c r="AL127" s="101">
        <f t="shared" si="12"/>
        <v>0</v>
      </c>
    </row>
    <row r="128" spans="1:38" ht="25.5" x14ac:dyDescent="0.2">
      <c r="A128" s="16" t="s">
        <v>193</v>
      </c>
      <c r="B128" s="292"/>
      <c r="C128" s="159"/>
      <c r="D128" s="23"/>
      <c r="E128" s="23"/>
      <c r="F128" s="214"/>
      <c r="G128" s="23"/>
      <c r="H128" s="6"/>
      <c r="I128" s="6">
        <v>29</v>
      </c>
      <c r="J128" s="6"/>
      <c r="K128" s="59"/>
      <c r="L128" s="47"/>
      <c r="M128" s="6">
        <v>11036</v>
      </c>
      <c r="N128" s="6"/>
      <c r="O128" s="24"/>
      <c r="P128" s="56"/>
      <c r="Q128" s="6">
        <v>0</v>
      </c>
      <c r="R128" s="56"/>
      <c r="S128" s="59"/>
      <c r="T128" s="6"/>
      <c r="U128" s="23"/>
      <c r="V128" s="6">
        <v>0</v>
      </c>
      <c r="W128" s="6"/>
      <c r="X128" s="6"/>
      <c r="Y128" s="6"/>
      <c r="Z128" s="24"/>
      <c r="AA128" s="159"/>
      <c r="AB128" s="6"/>
      <c r="AC128" s="24"/>
      <c r="AD128" s="159"/>
      <c r="AE128" s="159"/>
      <c r="AF128" s="6"/>
      <c r="AG128" s="59"/>
      <c r="AH128" s="23"/>
      <c r="AI128" s="6"/>
      <c r="AJ128" s="6"/>
      <c r="AK128" s="6"/>
      <c r="AL128" s="101">
        <f t="shared" si="12"/>
        <v>0</v>
      </c>
    </row>
    <row r="129" spans="1:38" ht="25.5" x14ac:dyDescent="0.2">
      <c r="A129" s="16" t="s">
        <v>222</v>
      </c>
      <c r="B129" s="292"/>
      <c r="C129" s="159"/>
      <c r="D129" s="23"/>
      <c r="E129" s="23"/>
      <c r="F129" s="214"/>
      <c r="G129" s="23"/>
      <c r="H129" s="6"/>
      <c r="I129" s="6">
        <v>350</v>
      </c>
      <c r="J129" s="6"/>
      <c r="K129" s="59"/>
      <c r="L129" s="47"/>
      <c r="M129" s="6">
        <v>14000</v>
      </c>
      <c r="N129" s="6"/>
      <c r="O129" s="24"/>
      <c r="P129" s="56"/>
      <c r="Q129" s="6">
        <v>4500</v>
      </c>
      <c r="R129" s="56"/>
      <c r="S129" s="59"/>
      <c r="T129" s="6"/>
      <c r="U129" s="23"/>
      <c r="V129" s="6"/>
      <c r="W129" s="6"/>
      <c r="X129" s="6"/>
      <c r="Y129" s="6"/>
      <c r="Z129" s="24"/>
      <c r="AA129" s="159"/>
      <c r="AB129" s="6"/>
      <c r="AC129" s="24"/>
      <c r="AD129" s="159"/>
      <c r="AE129" s="159"/>
      <c r="AF129" s="6"/>
      <c r="AG129" s="59"/>
      <c r="AH129" s="23"/>
      <c r="AI129" s="6"/>
      <c r="AJ129" s="6"/>
      <c r="AK129" s="6"/>
      <c r="AL129" s="101">
        <f t="shared" si="12"/>
        <v>0</v>
      </c>
    </row>
    <row r="130" spans="1:38" ht="38.25" x14ac:dyDescent="0.2">
      <c r="A130" s="16" t="s">
        <v>226</v>
      </c>
      <c r="B130" s="292"/>
      <c r="C130" s="159"/>
      <c r="D130" s="23"/>
      <c r="E130" s="23"/>
      <c r="F130" s="214"/>
      <c r="G130" s="23"/>
      <c r="H130" s="6"/>
      <c r="I130" s="6"/>
      <c r="J130" s="6"/>
      <c r="K130" s="59"/>
      <c r="L130" s="23"/>
      <c r="M130" s="6">
        <v>11420</v>
      </c>
      <c r="N130" s="6"/>
      <c r="O130" s="24"/>
      <c r="P130" s="56"/>
      <c r="Q130" s="6"/>
      <c r="R130" s="56"/>
      <c r="S130" s="59"/>
      <c r="T130" s="6"/>
      <c r="U130" s="23"/>
      <c r="V130" s="6"/>
      <c r="W130" s="6"/>
      <c r="X130" s="6"/>
      <c r="Y130" s="6"/>
      <c r="Z130" s="24"/>
      <c r="AA130" s="159"/>
      <c r="AB130" s="6"/>
      <c r="AC130" s="24"/>
      <c r="AD130" s="159"/>
      <c r="AE130" s="159"/>
      <c r="AF130" s="6"/>
      <c r="AG130" s="59"/>
      <c r="AH130" s="23"/>
      <c r="AI130" s="6"/>
      <c r="AJ130" s="6"/>
      <c r="AK130" s="6"/>
      <c r="AL130" s="101">
        <f t="shared" si="12"/>
        <v>0</v>
      </c>
    </row>
    <row r="131" spans="1:38" ht="25.5" x14ac:dyDescent="0.2">
      <c r="A131" s="16" t="s">
        <v>235</v>
      </c>
      <c r="B131" s="292"/>
      <c r="C131" s="159"/>
      <c r="D131" s="23"/>
      <c r="E131" s="23"/>
      <c r="F131" s="214"/>
      <c r="G131" s="23"/>
      <c r="H131" s="6"/>
      <c r="I131" s="6"/>
      <c r="J131" s="6"/>
      <c r="K131" s="59"/>
      <c r="L131" s="23"/>
      <c r="M131" s="6">
        <v>40000</v>
      </c>
      <c r="N131" s="6"/>
      <c r="O131" s="24"/>
      <c r="P131" s="56"/>
      <c r="Q131" s="6">
        <v>30500</v>
      </c>
      <c r="R131" s="56"/>
      <c r="S131" s="59"/>
      <c r="T131" s="6"/>
      <c r="U131" s="23"/>
      <c r="V131" s="6"/>
      <c r="W131" s="6"/>
      <c r="X131" s="6"/>
      <c r="Y131" s="6"/>
      <c r="Z131" s="24"/>
      <c r="AA131" s="159"/>
      <c r="AB131" s="6"/>
      <c r="AC131" s="24"/>
      <c r="AD131" s="159"/>
      <c r="AE131" s="159"/>
      <c r="AF131" s="6"/>
      <c r="AG131" s="59"/>
      <c r="AH131" s="23"/>
      <c r="AI131" s="6"/>
      <c r="AJ131" s="6"/>
      <c r="AK131" s="6"/>
      <c r="AL131" s="101">
        <f t="shared" si="12"/>
        <v>0</v>
      </c>
    </row>
    <row r="132" spans="1:38" ht="25.5" x14ac:dyDescent="0.2">
      <c r="A132" s="16" t="s">
        <v>223</v>
      </c>
      <c r="B132" s="292"/>
      <c r="C132" s="159"/>
      <c r="D132" s="23"/>
      <c r="E132" s="23"/>
      <c r="F132" s="214"/>
      <c r="G132" s="23"/>
      <c r="H132" s="6"/>
      <c r="I132" s="6">
        <v>9120</v>
      </c>
      <c r="J132" s="6"/>
      <c r="K132" s="59"/>
      <c r="L132" s="23"/>
      <c r="M132" s="6"/>
      <c r="N132" s="6"/>
      <c r="O132" s="24"/>
      <c r="P132" s="56"/>
      <c r="Q132" s="6"/>
      <c r="R132" s="56"/>
      <c r="S132" s="59"/>
      <c r="T132" s="6"/>
      <c r="U132" s="23"/>
      <c r="V132" s="6"/>
      <c r="W132" s="6"/>
      <c r="X132" s="6"/>
      <c r="Y132" s="6"/>
      <c r="Z132" s="24"/>
      <c r="AA132" s="159"/>
      <c r="AB132" s="6"/>
      <c r="AC132" s="24"/>
      <c r="AD132" s="159"/>
      <c r="AE132" s="159"/>
      <c r="AF132" s="6"/>
      <c r="AG132" s="59"/>
      <c r="AH132" s="23"/>
      <c r="AI132" s="6"/>
      <c r="AJ132" s="6"/>
      <c r="AK132" s="6"/>
      <c r="AL132" s="101">
        <f t="shared" si="12"/>
        <v>0</v>
      </c>
    </row>
    <row r="133" spans="1:38" ht="25.5" x14ac:dyDescent="0.2">
      <c r="A133" s="16" t="s">
        <v>224</v>
      </c>
      <c r="B133" s="292"/>
      <c r="C133" s="159"/>
      <c r="D133" s="23"/>
      <c r="E133" s="23"/>
      <c r="F133" s="214"/>
      <c r="G133" s="23"/>
      <c r="H133" s="6"/>
      <c r="I133" s="6">
        <v>127</v>
      </c>
      <c r="J133" s="6"/>
      <c r="K133" s="59"/>
      <c r="L133" s="23"/>
      <c r="M133" s="6">
        <v>7373</v>
      </c>
      <c r="N133" s="6"/>
      <c r="O133" s="24"/>
      <c r="P133" s="56"/>
      <c r="Q133" s="6">
        <v>14000</v>
      </c>
      <c r="R133" s="56"/>
      <c r="S133" s="59"/>
      <c r="T133" s="6"/>
      <c r="U133" s="23"/>
      <c r="V133" s="6"/>
      <c r="W133" s="6"/>
      <c r="X133" s="6"/>
      <c r="Y133" s="6"/>
      <c r="Z133" s="24"/>
      <c r="AA133" s="159"/>
      <c r="AB133" s="6"/>
      <c r="AC133" s="24"/>
      <c r="AD133" s="159"/>
      <c r="AE133" s="159"/>
      <c r="AF133" s="6"/>
      <c r="AG133" s="59"/>
      <c r="AH133" s="23"/>
      <c r="AI133" s="6"/>
      <c r="AJ133" s="6"/>
      <c r="AK133" s="6"/>
      <c r="AL133" s="101">
        <f t="shared" si="12"/>
        <v>0</v>
      </c>
    </row>
    <row r="134" spans="1:38" ht="25.5" x14ac:dyDescent="0.2">
      <c r="A134" s="16" t="s">
        <v>225</v>
      </c>
      <c r="B134" s="292"/>
      <c r="C134" s="159"/>
      <c r="D134" s="23"/>
      <c r="E134" s="23"/>
      <c r="F134" s="214"/>
      <c r="G134" s="23"/>
      <c r="H134" s="6"/>
      <c r="I134" s="6">
        <v>23000</v>
      </c>
      <c r="J134" s="6"/>
      <c r="K134" s="59"/>
      <c r="L134" s="23"/>
      <c r="M134" s="6">
        <v>2000</v>
      </c>
      <c r="N134" s="6"/>
      <c r="O134" s="24"/>
      <c r="P134" s="56"/>
      <c r="Q134" s="6"/>
      <c r="R134" s="56"/>
      <c r="S134" s="59"/>
      <c r="T134" s="6"/>
      <c r="U134" s="23"/>
      <c r="V134" s="6"/>
      <c r="W134" s="6"/>
      <c r="X134" s="6"/>
      <c r="Y134" s="6"/>
      <c r="Z134" s="24"/>
      <c r="AA134" s="159"/>
      <c r="AB134" s="6"/>
      <c r="AC134" s="24"/>
      <c r="AD134" s="159"/>
      <c r="AE134" s="159"/>
      <c r="AF134" s="6"/>
      <c r="AG134" s="59"/>
      <c r="AH134" s="23"/>
      <c r="AI134" s="6"/>
      <c r="AJ134" s="6"/>
      <c r="AK134" s="6"/>
      <c r="AL134" s="101">
        <f t="shared" si="12"/>
        <v>0</v>
      </c>
    </row>
    <row r="135" spans="1:38" ht="25.5" x14ac:dyDescent="0.2">
      <c r="A135" s="16" t="s">
        <v>243</v>
      </c>
      <c r="B135" s="292"/>
      <c r="C135" s="159"/>
      <c r="D135" s="23"/>
      <c r="E135" s="23"/>
      <c r="F135" s="214"/>
      <c r="G135" s="23"/>
      <c r="H135" s="6"/>
      <c r="I135" s="6">
        <v>7950</v>
      </c>
      <c r="J135" s="6"/>
      <c r="K135" s="59"/>
      <c r="L135" s="23"/>
      <c r="M135" s="6"/>
      <c r="N135" s="6"/>
      <c r="O135" s="24"/>
      <c r="P135" s="56"/>
      <c r="Q135" s="6"/>
      <c r="R135" s="56"/>
      <c r="S135" s="59"/>
      <c r="T135" s="6"/>
      <c r="U135" s="23"/>
      <c r="V135" s="6"/>
      <c r="W135" s="6"/>
      <c r="X135" s="6"/>
      <c r="Y135" s="6"/>
      <c r="Z135" s="24"/>
      <c r="AA135" s="159"/>
      <c r="AB135" s="6"/>
      <c r="AC135" s="24"/>
      <c r="AD135" s="159"/>
      <c r="AE135" s="159"/>
      <c r="AF135" s="6"/>
      <c r="AG135" s="59"/>
      <c r="AH135" s="23"/>
      <c r="AI135" s="6"/>
      <c r="AJ135" s="6"/>
      <c r="AK135" s="6"/>
      <c r="AL135" s="101">
        <f t="shared" si="12"/>
        <v>0</v>
      </c>
    </row>
    <row r="136" spans="1:38" ht="25.5" x14ac:dyDescent="0.2">
      <c r="A136" s="16" t="s">
        <v>303</v>
      </c>
      <c r="B136" s="292"/>
      <c r="C136" s="159"/>
      <c r="D136" s="23"/>
      <c r="E136" s="23"/>
      <c r="F136" s="214"/>
      <c r="G136" s="23"/>
      <c r="H136" s="6"/>
      <c r="I136" s="6"/>
      <c r="J136" s="6"/>
      <c r="K136" s="59"/>
      <c r="L136" s="23"/>
      <c r="M136" s="6">
        <v>15000</v>
      </c>
      <c r="N136" s="6"/>
      <c r="O136" s="24"/>
      <c r="P136" s="56"/>
      <c r="Q136" s="6"/>
      <c r="R136" s="56"/>
      <c r="S136" s="59"/>
      <c r="T136" s="6"/>
      <c r="U136" s="23"/>
      <c r="V136" s="6"/>
      <c r="W136" s="6"/>
      <c r="X136" s="6"/>
      <c r="Y136" s="6"/>
      <c r="Z136" s="24"/>
      <c r="AA136" s="159"/>
      <c r="AB136" s="6"/>
      <c r="AC136" s="24"/>
      <c r="AD136" s="159"/>
      <c r="AE136" s="159"/>
      <c r="AF136" s="6"/>
      <c r="AG136" s="59"/>
      <c r="AH136" s="23"/>
      <c r="AI136" s="6"/>
      <c r="AJ136" s="6"/>
      <c r="AK136" s="6"/>
      <c r="AL136" s="101"/>
    </row>
    <row r="137" spans="1:38" ht="25.5" x14ac:dyDescent="0.2">
      <c r="A137" s="16" t="s">
        <v>240</v>
      </c>
      <c r="B137" s="292"/>
      <c r="C137" s="159"/>
      <c r="D137" s="23"/>
      <c r="E137" s="23"/>
      <c r="F137" s="214"/>
      <c r="G137" s="23"/>
      <c r="H137" s="6"/>
      <c r="I137" s="6"/>
      <c r="J137" s="6"/>
      <c r="K137" s="59"/>
      <c r="L137" s="23"/>
      <c r="M137" s="6"/>
      <c r="N137" s="6">
        <v>0</v>
      </c>
      <c r="O137" s="24"/>
      <c r="P137" s="56"/>
      <c r="Q137" s="6"/>
      <c r="R137" s="56">
        <v>0</v>
      </c>
      <c r="S137" s="59"/>
      <c r="T137" s="6">
        <v>42000</v>
      </c>
      <c r="U137" s="23"/>
      <c r="V137" s="6"/>
      <c r="W137" s="6"/>
      <c r="X137" s="6">
        <v>9600</v>
      </c>
      <c r="Y137" s="6"/>
      <c r="Z137" s="24"/>
      <c r="AA137" s="159"/>
      <c r="AB137" s="6"/>
      <c r="AC137" s="24">
        <v>51600</v>
      </c>
      <c r="AD137" s="159"/>
      <c r="AE137" s="159"/>
      <c r="AF137" s="6"/>
      <c r="AG137" s="59"/>
      <c r="AH137" s="23"/>
      <c r="AI137" s="6"/>
      <c r="AJ137" s="6"/>
      <c r="AK137" s="6"/>
      <c r="AL137" s="101">
        <f t="shared" ref="AL137:AL168" si="13">D137+E137+J137+N137+R137+W137-F137-K137-O137-S137-Y137</f>
        <v>0</v>
      </c>
    </row>
    <row r="138" spans="1:38" s="8" customFormat="1" x14ac:dyDescent="0.2">
      <c r="A138" s="17" t="s">
        <v>28</v>
      </c>
      <c r="B138" s="289"/>
      <c r="C138" s="161">
        <f t="shared" ref="C138:T138" si="14">SUM(C85:C137)</f>
        <v>0</v>
      </c>
      <c r="D138" s="25">
        <f t="shared" si="14"/>
        <v>26405.047129999999</v>
      </c>
      <c r="E138" s="25">
        <f t="shared" si="14"/>
        <v>11784.489999999998</v>
      </c>
      <c r="F138" s="142">
        <f t="shared" si="14"/>
        <v>26992.61</v>
      </c>
      <c r="G138" s="199">
        <f t="shared" si="14"/>
        <v>132175.28</v>
      </c>
      <c r="H138" s="191">
        <f t="shared" si="14"/>
        <v>359.74</v>
      </c>
      <c r="I138" s="191">
        <f t="shared" si="14"/>
        <v>315479</v>
      </c>
      <c r="J138" s="191">
        <f t="shared" si="14"/>
        <v>41806.479999999996</v>
      </c>
      <c r="K138" s="218">
        <f t="shared" si="14"/>
        <v>14760.710000000001</v>
      </c>
      <c r="L138" s="199">
        <f t="shared" si="14"/>
        <v>525</v>
      </c>
      <c r="M138" s="191">
        <f t="shared" si="14"/>
        <v>401324</v>
      </c>
      <c r="N138" s="191">
        <f t="shared" si="14"/>
        <v>63950</v>
      </c>
      <c r="O138" s="200">
        <f t="shared" si="14"/>
        <v>17810</v>
      </c>
      <c r="P138" s="200">
        <f t="shared" si="14"/>
        <v>23145</v>
      </c>
      <c r="Q138" s="191">
        <f t="shared" si="14"/>
        <v>245000</v>
      </c>
      <c r="R138" s="15">
        <f t="shared" si="14"/>
        <v>173795</v>
      </c>
      <c r="S138" s="60">
        <f t="shared" si="14"/>
        <v>166070</v>
      </c>
      <c r="T138" s="60">
        <f t="shared" si="14"/>
        <v>42000</v>
      </c>
      <c r="U138" s="191">
        <f t="shared" ref="U138:Z138" si="15">SUM(U85:U137)</f>
        <v>26220</v>
      </c>
      <c r="V138" s="191">
        <f t="shared" si="15"/>
        <v>27610</v>
      </c>
      <c r="W138" s="191">
        <f t="shared" si="15"/>
        <v>0</v>
      </c>
      <c r="X138" s="191">
        <f t="shared" si="15"/>
        <v>168640</v>
      </c>
      <c r="Y138" s="191">
        <f t="shared" si="15"/>
        <v>91975</v>
      </c>
      <c r="Z138" s="200">
        <f t="shared" si="15"/>
        <v>0</v>
      </c>
      <c r="AA138" s="191">
        <f t="shared" ref="AA138:AK138" si="16">SUM(AA85:AA137)</f>
        <v>60255</v>
      </c>
      <c r="AB138" s="191">
        <f t="shared" si="16"/>
        <v>392705</v>
      </c>
      <c r="AC138" s="200">
        <f t="shared" si="16"/>
        <v>210640</v>
      </c>
      <c r="AD138" s="15">
        <f t="shared" si="16"/>
        <v>0</v>
      </c>
      <c r="AE138" s="15">
        <f t="shared" si="16"/>
        <v>0</v>
      </c>
      <c r="AF138" s="15">
        <f t="shared" si="16"/>
        <v>445500</v>
      </c>
      <c r="AG138" s="15">
        <f t="shared" si="16"/>
        <v>372705</v>
      </c>
      <c r="AH138" s="322">
        <f t="shared" si="16"/>
        <v>0</v>
      </c>
      <c r="AI138" s="322">
        <f t="shared" si="16"/>
        <v>0</v>
      </c>
      <c r="AJ138" s="322">
        <f t="shared" si="16"/>
        <v>0</v>
      </c>
      <c r="AK138" s="324">
        <f t="shared" si="16"/>
        <v>445500</v>
      </c>
      <c r="AL138" s="101">
        <f t="shared" si="13"/>
        <v>132.69712999998592</v>
      </c>
    </row>
    <row r="139" spans="1:38" s="8" customFormat="1" x14ac:dyDescent="0.2">
      <c r="A139" s="178" t="s">
        <v>228</v>
      </c>
      <c r="B139" s="299"/>
      <c r="C139" s="146"/>
      <c r="D139" s="43"/>
      <c r="E139" s="43"/>
      <c r="F139" s="213"/>
      <c r="G139" s="43"/>
      <c r="H139" s="45"/>
      <c r="I139" s="45"/>
      <c r="J139" s="45">
        <v>0</v>
      </c>
      <c r="K139" s="58"/>
      <c r="L139" s="43"/>
      <c r="M139" s="45"/>
      <c r="N139" s="45">
        <v>35606</v>
      </c>
      <c r="O139" s="46">
        <v>0</v>
      </c>
      <c r="P139" s="55"/>
      <c r="Q139" s="45"/>
      <c r="R139" s="55">
        <v>8820</v>
      </c>
      <c r="S139" s="58">
        <v>44426</v>
      </c>
      <c r="T139" s="45"/>
      <c r="U139" s="43"/>
      <c r="V139" s="45"/>
      <c r="W139" s="45"/>
      <c r="X139" s="45"/>
      <c r="Y139" s="45"/>
      <c r="Z139" s="46"/>
      <c r="AA139" s="146"/>
      <c r="AB139" s="45"/>
      <c r="AC139" s="46"/>
      <c r="AD139" s="146"/>
      <c r="AE139" s="146"/>
      <c r="AF139" s="45"/>
      <c r="AG139" s="58"/>
      <c r="AH139" s="43"/>
      <c r="AI139" s="45"/>
      <c r="AJ139" s="45"/>
      <c r="AK139" s="45"/>
      <c r="AL139" s="101">
        <f t="shared" si="13"/>
        <v>0</v>
      </c>
    </row>
    <row r="140" spans="1:38" s="8" customFormat="1" x14ac:dyDescent="0.2">
      <c r="A140" s="178" t="s">
        <v>229</v>
      </c>
      <c r="B140" s="299"/>
      <c r="C140" s="146"/>
      <c r="D140" s="43"/>
      <c r="E140" s="43"/>
      <c r="F140" s="213"/>
      <c r="G140" s="43"/>
      <c r="H140" s="45"/>
      <c r="I140" s="45"/>
      <c r="J140" s="45">
        <v>0</v>
      </c>
      <c r="K140" s="58"/>
      <c r="L140" s="43"/>
      <c r="M140" s="45"/>
      <c r="N140" s="45">
        <v>17403</v>
      </c>
      <c r="O140" s="46">
        <v>17403</v>
      </c>
      <c r="P140" s="55"/>
      <c r="Q140" s="45"/>
      <c r="R140" s="55"/>
      <c r="S140" s="58"/>
      <c r="T140" s="45"/>
      <c r="U140" s="43"/>
      <c r="V140" s="45"/>
      <c r="W140" s="45"/>
      <c r="X140" s="45"/>
      <c r="Y140" s="45"/>
      <c r="Z140" s="46"/>
      <c r="AA140" s="146"/>
      <c r="AB140" s="45"/>
      <c r="AC140" s="46"/>
      <c r="AD140" s="146"/>
      <c r="AE140" s="146"/>
      <c r="AF140" s="45"/>
      <c r="AG140" s="58"/>
      <c r="AH140" s="43"/>
      <c r="AI140" s="45"/>
      <c r="AJ140" s="45"/>
      <c r="AK140" s="45"/>
      <c r="AL140" s="101">
        <f t="shared" si="13"/>
        <v>0</v>
      </c>
    </row>
    <row r="141" spans="1:38" s="8" customFormat="1" x14ac:dyDescent="0.2">
      <c r="A141" s="178" t="s">
        <v>230</v>
      </c>
      <c r="B141" s="299"/>
      <c r="C141" s="146"/>
      <c r="D141" s="43"/>
      <c r="E141" s="43"/>
      <c r="F141" s="213"/>
      <c r="G141" s="43"/>
      <c r="H141" s="45"/>
      <c r="I141" s="45"/>
      <c r="J141" s="45">
        <v>0</v>
      </c>
      <c r="K141" s="58"/>
      <c r="L141" s="43"/>
      <c r="M141" s="45"/>
      <c r="N141" s="45">
        <v>23000</v>
      </c>
      <c r="O141" s="46"/>
      <c r="P141" s="55"/>
      <c r="Q141" s="45"/>
      <c r="R141" s="55">
        <v>0</v>
      </c>
      <c r="S141" s="58">
        <v>23000</v>
      </c>
      <c r="T141" s="45"/>
      <c r="U141" s="43"/>
      <c r="V141" s="45"/>
      <c r="W141" s="45"/>
      <c r="X141" s="45"/>
      <c r="Y141" s="45"/>
      <c r="Z141" s="46"/>
      <c r="AA141" s="146"/>
      <c r="AB141" s="45"/>
      <c r="AC141" s="46"/>
      <c r="AD141" s="146"/>
      <c r="AE141" s="146"/>
      <c r="AF141" s="45"/>
      <c r="AG141" s="58"/>
      <c r="AH141" s="43"/>
      <c r="AI141" s="45"/>
      <c r="AJ141" s="45"/>
      <c r="AK141" s="45"/>
      <c r="AL141" s="101">
        <f t="shared" si="13"/>
        <v>0</v>
      </c>
    </row>
    <row r="142" spans="1:38" s="37" customFormat="1" x14ac:dyDescent="0.2">
      <c r="A142" s="130" t="s">
        <v>210</v>
      </c>
      <c r="B142" s="288"/>
      <c r="C142" s="146"/>
      <c r="D142" s="43"/>
      <c r="E142" s="43"/>
      <c r="F142" s="213"/>
      <c r="G142" s="43"/>
      <c r="H142" s="45"/>
      <c r="I142" s="45"/>
      <c r="J142" s="45"/>
      <c r="K142" s="58"/>
      <c r="L142" s="43"/>
      <c r="M142" s="45"/>
      <c r="N142" s="45"/>
      <c r="O142" s="46"/>
      <c r="P142" s="55"/>
      <c r="Q142" s="45"/>
      <c r="R142" s="55">
        <v>0</v>
      </c>
      <c r="S142" s="58"/>
      <c r="T142" s="45"/>
      <c r="U142" s="43"/>
      <c r="V142" s="45"/>
      <c r="W142" s="45"/>
      <c r="X142" s="45"/>
      <c r="Y142" s="45">
        <v>0</v>
      </c>
      <c r="Z142" s="46"/>
      <c r="AA142" s="146"/>
      <c r="AB142" s="45"/>
      <c r="AC142" s="46"/>
      <c r="AD142" s="146"/>
      <c r="AE142" s="146"/>
      <c r="AF142" s="45"/>
      <c r="AG142" s="58"/>
      <c r="AH142" s="43"/>
      <c r="AI142" s="45"/>
      <c r="AJ142" s="45"/>
      <c r="AK142" s="45"/>
      <c r="AL142" s="101">
        <f t="shared" si="13"/>
        <v>0</v>
      </c>
    </row>
    <row r="143" spans="1:38" s="37" customFormat="1" x14ac:dyDescent="0.2">
      <c r="A143" s="130" t="s">
        <v>91</v>
      </c>
      <c r="B143" s="288"/>
      <c r="C143" s="146"/>
      <c r="D143" s="43"/>
      <c r="E143" s="43"/>
      <c r="F143" s="213"/>
      <c r="G143" s="43"/>
      <c r="H143" s="45"/>
      <c r="I143" s="45"/>
      <c r="J143" s="45"/>
      <c r="K143" s="58"/>
      <c r="L143" s="43"/>
      <c r="M143" s="45"/>
      <c r="N143" s="45"/>
      <c r="O143" s="46"/>
      <c r="P143" s="55"/>
      <c r="Q143" s="45"/>
      <c r="R143" s="55">
        <v>35000</v>
      </c>
      <c r="S143" s="58">
        <v>0</v>
      </c>
      <c r="T143" s="6"/>
      <c r="U143" s="43"/>
      <c r="V143" s="6"/>
      <c r="W143" s="6"/>
      <c r="X143" s="6">
        <v>80500</v>
      </c>
      <c r="Y143" s="6">
        <v>35000</v>
      </c>
      <c r="Z143" s="24"/>
      <c r="AA143" s="159"/>
      <c r="AB143" s="6"/>
      <c r="AC143" s="24">
        <v>80500</v>
      </c>
      <c r="AD143" s="159"/>
      <c r="AE143" s="159"/>
      <c r="AF143" s="6"/>
      <c r="AG143" s="59"/>
      <c r="AH143" s="23"/>
      <c r="AI143" s="6"/>
      <c r="AJ143" s="6"/>
      <c r="AK143" s="6"/>
      <c r="AL143" s="101">
        <f t="shared" si="13"/>
        <v>0</v>
      </c>
    </row>
    <row r="144" spans="1:38" s="8" customFormat="1" x14ac:dyDescent="0.2">
      <c r="A144" s="157" t="s">
        <v>212</v>
      </c>
      <c r="B144" s="300"/>
      <c r="C144" s="146"/>
      <c r="D144" s="43"/>
      <c r="E144" s="43"/>
      <c r="F144" s="213"/>
      <c r="G144" s="43"/>
      <c r="H144" s="45"/>
      <c r="I144" s="45"/>
      <c r="J144" s="45"/>
      <c r="K144" s="58"/>
      <c r="L144" s="43"/>
      <c r="M144" s="45"/>
      <c r="N144" s="45"/>
      <c r="O144" s="46"/>
      <c r="P144" s="55"/>
      <c r="Q144" s="45"/>
      <c r="R144" s="55">
        <v>29500</v>
      </c>
      <c r="S144" s="58"/>
      <c r="T144" s="45"/>
      <c r="U144" s="43"/>
      <c r="V144" s="45"/>
      <c r="W144" s="45"/>
      <c r="X144" s="45">
        <v>140000</v>
      </c>
      <c r="Y144" s="45">
        <v>29500</v>
      </c>
      <c r="Z144" s="46">
        <v>64550</v>
      </c>
      <c r="AA144" s="146"/>
      <c r="AB144" s="45">
        <v>242000</v>
      </c>
      <c r="AC144" s="46">
        <v>180750</v>
      </c>
      <c r="AD144" s="146"/>
      <c r="AE144" s="146"/>
      <c r="AF144" s="45">
        <v>81000</v>
      </c>
      <c r="AG144" s="58">
        <v>164750</v>
      </c>
      <c r="AH144" s="43"/>
      <c r="AI144" s="45"/>
      <c r="AJ144" s="45"/>
      <c r="AK144" s="45">
        <v>52950</v>
      </c>
      <c r="AL144" s="101">
        <f t="shared" si="13"/>
        <v>0</v>
      </c>
    </row>
    <row r="145" spans="1:38" s="37" customFormat="1" ht="25.5" x14ac:dyDescent="0.2">
      <c r="A145" s="132" t="s">
        <v>144</v>
      </c>
      <c r="B145" s="288" t="s">
        <v>294</v>
      </c>
      <c r="C145" s="146"/>
      <c r="D145" s="43"/>
      <c r="E145" s="43">
        <v>19688.03</v>
      </c>
      <c r="F145" s="213"/>
      <c r="G145" s="43"/>
      <c r="H145" s="45"/>
      <c r="I145" s="45"/>
      <c r="J145" s="45"/>
      <c r="K145" s="58">
        <v>19688.04</v>
      </c>
      <c r="L145" s="43"/>
      <c r="M145" s="45"/>
      <c r="N145" s="45"/>
      <c r="O145" s="46"/>
      <c r="P145" s="55"/>
      <c r="Q145" s="45"/>
      <c r="R145" s="55"/>
      <c r="S145" s="58"/>
      <c r="T145" s="6"/>
      <c r="U145" s="43"/>
      <c r="V145" s="6"/>
      <c r="W145" s="6"/>
      <c r="X145" s="6"/>
      <c r="Y145" s="6"/>
      <c r="Z145" s="24"/>
      <c r="AA145" s="159"/>
      <c r="AB145" s="6"/>
      <c r="AC145" s="24"/>
      <c r="AD145" s="159"/>
      <c r="AE145" s="159"/>
      <c r="AF145" s="6"/>
      <c r="AG145" s="59"/>
      <c r="AH145" s="23"/>
      <c r="AI145" s="6"/>
      <c r="AJ145" s="6"/>
      <c r="AK145" s="6"/>
      <c r="AL145" s="101">
        <f t="shared" si="13"/>
        <v>-1.0000000002037268E-2</v>
      </c>
    </row>
    <row r="146" spans="1:38" x14ac:dyDescent="0.2">
      <c r="A146" s="20" t="s">
        <v>19</v>
      </c>
      <c r="B146" s="292"/>
      <c r="C146" s="159"/>
      <c r="D146" s="23"/>
      <c r="E146" s="23"/>
      <c r="F146" s="214"/>
      <c r="G146" s="23"/>
      <c r="H146" s="6"/>
      <c r="I146" s="7">
        <v>10000</v>
      </c>
      <c r="J146" s="7"/>
      <c r="K146" s="62"/>
      <c r="L146" s="23"/>
      <c r="M146" s="6">
        <v>85000</v>
      </c>
      <c r="N146" s="6"/>
      <c r="O146" s="24"/>
      <c r="P146" s="56"/>
      <c r="Q146" s="6">
        <v>10000</v>
      </c>
      <c r="R146" s="56"/>
      <c r="S146" s="59"/>
      <c r="T146" s="6"/>
      <c r="U146" s="23"/>
      <c r="V146" s="6"/>
      <c r="W146" s="6"/>
      <c r="X146" s="6"/>
      <c r="Y146" s="6"/>
      <c r="Z146" s="24"/>
      <c r="AA146" s="159"/>
      <c r="AB146" s="6"/>
      <c r="AC146" s="24"/>
      <c r="AD146" s="159"/>
      <c r="AE146" s="159"/>
      <c r="AF146" s="6"/>
      <c r="AG146" s="59"/>
      <c r="AH146" s="23"/>
      <c r="AI146" s="6"/>
      <c r="AJ146" s="6"/>
      <c r="AK146" s="6"/>
      <c r="AL146" s="101">
        <f t="shared" si="13"/>
        <v>0</v>
      </c>
    </row>
    <row r="147" spans="1:38" x14ac:dyDescent="0.2">
      <c r="A147" s="20" t="s">
        <v>20</v>
      </c>
      <c r="B147" s="292"/>
      <c r="C147" s="159"/>
      <c r="D147" s="23"/>
      <c r="E147" s="23"/>
      <c r="F147" s="214"/>
      <c r="G147" s="23"/>
      <c r="H147" s="6"/>
      <c r="I147" s="6">
        <v>234.11</v>
      </c>
      <c r="J147" s="6"/>
      <c r="K147" s="59"/>
      <c r="L147" s="47"/>
      <c r="M147" s="6">
        <v>93182</v>
      </c>
      <c r="N147" s="6"/>
      <c r="O147" s="24"/>
      <c r="P147" s="56"/>
      <c r="Q147" s="6">
        <v>50000</v>
      </c>
      <c r="R147" s="56"/>
      <c r="S147" s="59"/>
      <c r="T147" s="6"/>
      <c r="U147" s="23"/>
      <c r="V147" s="6"/>
      <c r="W147" s="6"/>
      <c r="X147" s="6"/>
      <c r="Y147" s="6"/>
      <c r="Z147" s="24"/>
      <c r="AA147" s="159"/>
      <c r="AB147" s="6"/>
      <c r="AC147" s="24"/>
      <c r="AD147" s="159"/>
      <c r="AE147" s="159"/>
      <c r="AF147" s="6"/>
      <c r="AG147" s="59"/>
      <c r="AH147" s="23"/>
      <c r="AI147" s="6"/>
      <c r="AJ147" s="6"/>
      <c r="AK147" s="6"/>
      <c r="AL147" s="101">
        <f t="shared" si="13"/>
        <v>0</v>
      </c>
    </row>
    <row r="148" spans="1:38" x14ac:dyDescent="0.2">
      <c r="A148" s="20" t="s">
        <v>21</v>
      </c>
      <c r="B148" s="292"/>
      <c r="C148" s="159"/>
      <c r="D148" s="23"/>
      <c r="E148" s="23"/>
      <c r="F148" s="214"/>
      <c r="G148" s="23"/>
      <c r="H148" s="6"/>
      <c r="I148" s="6">
        <v>1100</v>
      </c>
      <c r="J148" s="6"/>
      <c r="K148" s="59"/>
      <c r="L148" s="47"/>
      <c r="M148" s="6">
        <v>22900</v>
      </c>
      <c r="N148" s="6"/>
      <c r="O148" s="24"/>
      <c r="P148" s="56"/>
      <c r="Q148" s="6"/>
      <c r="R148" s="56"/>
      <c r="S148" s="59"/>
      <c r="T148" s="6"/>
      <c r="U148" s="23"/>
      <c r="V148" s="6"/>
      <c r="W148" s="6"/>
      <c r="X148" s="6"/>
      <c r="Y148" s="6"/>
      <c r="Z148" s="24"/>
      <c r="AA148" s="159"/>
      <c r="AB148" s="6"/>
      <c r="AC148" s="24"/>
      <c r="AD148" s="159"/>
      <c r="AE148" s="159"/>
      <c r="AF148" s="6"/>
      <c r="AG148" s="59"/>
      <c r="AH148" s="23"/>
      <c r="AI148" s="6"/>
      <c r="AJ148" s="6"/>
      <c r="AK148" s="6"/>
      <c r="AL148" s="101">
        <f t="shared" si="13"/>
        <v>0</v>
      </c>
    </row>
    <row r="149" spans="1:38" x14ac:dyDescent="0.2">
      <c r="A149" s="20" t="s">
        <v>22</v>
      </c>
      <c r="B149" s="292"/>
      <c r="C149" s="159"/>
      <c r="D149" s="23"/>
      <c r="E149" s="23"/>
      <c r="F149" s="214"/>
      <c r="G149" s="23"/>
      <c r="H149" s="6"/>
      <c r="I149" s="6">
        <v>0</v>
      </c>
      <c r="J149" s="6"/>
      <c r="K149" s="59"/>
      <c r="L149" s="23"/>
      <c r="M149" s="6">
        <v>0</v>
      </c>
      <c r="N149" s="6"/>
      <c r="O149" s="24"/>
      <c r="P149" s="56"/>
      <c r="Q149" s="6"/>
      <c r="R149" s="56"/>
      <c r="S149" s="59"/>
      <c r="T149" s="6"/>
      <c r="U149" s="23"/>
      <c r="V149" s="6"/>
      <c r="W149" s="6"/>
      <c r="X149" s="6"/>
      <c r="Y149" s="6"/>
      <c r="Z149" s="24"/>
      <c r="AA149" s="159"/>
      <c r="AB149" s="6"/>
      <c r="AC149" s="24"/>
      <c r="AD149" s="159"/>
      <c r="AE149" s="159"/>
      <c r="AF149" s="6"/>
      <c r="AG149" s="59"/>
      <c r="AH149" s="23"/>
      <c r="AI149" s="6"/>
      <c r="AJ149" s="6"/>
      <c r="AK149" s="6"/>
      <c r="AL149" s="101">
        <f t="shared" si="13"/>
        <v>0</v>
      </c>
    </row>
    <row r="150" spans="1:38" ht="25.5" x14ac:dyDescent="0.2">
      <c r="A150" s="18" t="s">
        <v>236</v>
      </c>
      <c r="B150" s="294"/>
      <c r="C150" s="189"/>
      <c r="D150" s="31"/>
      <c r="E150" s="31"/>
      <c r="F150" s="216"/>
      <c r="G150" s="31">
        <v>0</v>
      </c>
      <c r="H150" s="6"/>
      <c r="I150" s="6">
        <v>21700</v>
      </c>
      <c r="J150" s="6"/>
      <c r="K150" s="59"/>
      <c r="L150" s="47"/>
      <c r="M150" s="6"/>
      <c r="N150" s="6"/>
      <c r="O150" s="24"/>
      <c r="P150" s="56"/>
      <c r="Q150" s="6"/>
      <c r="R150" s="56"/>
      <c r="S150" s="59"/>
      <c r="T150" s="6"/>
      <c r="U150" s="23"/>
      <c r="V150" s="6"/>
      <c r="W150" s="6"/>
      <c r="X150" s="6"/>
      <c r="Y150" s="6"/>
      <c r="Z150" s="24"/>
      <c r="AA150" s="159"/>
      <c r="AB150" s="6"/>
      <c r="AC150" s="24"/>
      <c r="AD150" s="159"/>
      <c r="AE150" s="159"/>
      <c r="AF150" s="6"/>
      <c r="AG150" s="59"/>
      <c r="AH150" s="23"/>
      <c r="AI150" s="6"/>
      <c r="AJ150" s="6"/>
      <c r="AK150" s="6"/>
      <c r="AL150" s="101">
        <f t="shared" si="13"/>
        <v>0</v>
      </c>
    </row>
    <row r="151" spans="1:38" ht="25.5" x14ac:dyDescent="0.2">
      <c r="A151" s="18" t="s">
        <v>244</v>
      </c>
      <c r="B151" s="294"/>
      <c r="C151" s="189"/>
      <c r="D151" s="31"/>
      <c r="E151" s="31"/>
      <c r="F151" s="216"/>
      <c r="G151" s="31"/>
      <c r="H151" s="6"/>
      <c r="I151" s="6">
        <v>22241.64</v>
      </c>
      <c r="J151" s="6"/>
      <c r="K151" s="59"/>
      <c r="L151" s="47"/>
      <c r="M151" s="6"/>
      <c r="N151" s="6"/>
      <c r="O151" s="24"/>
      <c r="P151" s="56"/>
      <c r="Q151" s="6"/>
      <c r="R151" s="56"/>
      <c r="S151" s="59"/>
      <c r="T151" s="6"/>
      <c r="U151" s="23"/>
      <c r="V151" s="6"/>
      <c r="W151" s="6"/>
      <c r="X151" s="6"/>
      <c r="Y151" s="6"/>
      <c r="Z151" s="24"/>
      <c r="AA151" s="159"/>
      <c r="AB151" s="6"/>
      <c r="AC151" s="24"/>
      <c r="AD151" s="159"/>
      <c r="AE151" s="159"/>
      <c r="AF151" s="6"/>
      <c r="AG151" s="59"/>
      <c r="AH151" s="23"/>
      <c r="AI151" s="6"/>
      <c r="AJ151" s="6"/>
      <c r="AK151" s="6"/>
      <c r="AL151" s="101">
        <f t="shared" si="13"/>
        <v>0</v>
      </c>
    </row>
    <row r="152" spans="1:38" ht="25.5" x14ac:dyDescent="0.2">
      <c r="A152" s="18" t="s">
        <v>245</v>
      </c>
      <c r="B152" s="294"/>
      <c r="C152" s="189"/>
      <c r="D152" s="31"/>
      <c r="E152" s="31"/>
      <c r="F152" s="216"/>
      <c r="G152" s="31"/>
      <c r="H152" s="6"/>
      <c r="I152" s="6">
        <v>20898.27</v>
      </c>
      <c r="J152" s="6"/>
      <c r="K152" s="59"/>
      <c r="L152" s="47"/>
      <c r="M152" s="6"/>
      <c r="N152" s="6"/>
      <c r="O152" s="24"/>
      <c r="P152" s="56"/>
      <c r="Q152" s="6"/>
      <c r="R152" s="56"/>
      <c r="S152" s="59"/>
      <c r="T152" s="6"/>
      <c r="U152" s="23"/>
      <c r="V152" s="6"/>
      <c r="W152" s="6"/>
      <c r="X152" s="6"/>
      <c r="Y152" s="6"/>
      <c r="Z152" s="24"/>
      <c r="AA152" s="159"/>
      <c r="AB152" s="6"/>
      <c r="AC152" s="24"/>
      <c r="AD152" s="159"/>
      <c r="AE152" s="159"/>
      <c r="AF152" s="6"/>
      <c r="AG152" s="59"/>
      <c r="AH152" s="23"/>
      <c r="AI152" s="6"/>
      <c r="AJ152" s="6"/>
      <c r="AK152" s="6"/>
      <c r="AL152" s="101">
        <f t="shared" si="13"/>
        <v>0</v>
      </c>
    </row>
    <row r="153" spans="1:38" ht="25.5" x14ac:dyDescent="0.2">
      <c r="A153" s="18" t="s">
        <v>246</v>
      </c>
      <c r="B153" s="294"/>
      <c r="C153" s="189"/>
      <c r="D153" s="31"/>
      <c r="E153" s="31"/>
      <c r="F153" s="216"/>
      <c r="G153" s="31"/>
      <c r="H153" s="6"/>
      <c r="I153" s="6">
        <v>28727.64</v>
      </c>
      <c r="J153" s="6"/>
      <c r="K153" s="59"/>
      <c r="L153" s="47"/>
      <c r="M153" s="6"/>
      <c r="N153" s="6"/>
      <c r="O153" s="24"/>
      <c r="P153" s="56"/>
      <c r="Q153" s="6"/>
      <c r="R153" s="56"/>
      <c r="S153" s="59"/>
      <c r="T153" s="6"/>
      <c r="U153" s="23"/>
      <c r="V153" s="6"/>
      <c r="W153" s="6"/>
      <c r="X153" s="6"/>
      <c r="Y153" s="6"/>
      <c r="Z153" s="24"/>
      <c r="AA153" s="159"/>
      <c r="AB153" s="6"/>
      <c r="AC153" s="24"/>
      <c r="AD153" s="159"/>
      <c r="AE153" s="159"/>
      <c r="AF153" s="6"/>
      <c r="AG153" s="59"/>
      <c r="AH153" s="23"/>
      <c r="AI153" s="6"/>
      <c r="AJ153" s="6"/>
      <c r="AK153" s="6"/>
      <c r="AL153" s="101">
        <f t="shared" si="13"/>
        <v>0</v>
      </c>
    </row>
    <row r="154" spans="1:38" ht="25.5" x14ac:dyDescent="0.2">
      <c r="A154" s="18" t="s">
        <v>247</v>
      </c>
      <c r="B154" s="294"/>
      <c r="C154" s="189"/>
      <c r="D154" s="31"/>
      <c r="E154" s="31"/>
      <c r="F154" s="216"/>
      <c r="G154" s="31"/>
      <c r="H154" s="6"/>
      <c r="I154" s="6">
        <v>11437.7</v>
      </c>
      <c r="J154" s="6"/>
      <c r="K154" s="59"/>
      <c r="L154" s="47"/>
      <c r="M154" s="6"/>
      <c r="N154" s="6"/>
      <c r="O154" s="24"/>
      <c r="P154" s="56"/>
      <c r="Q154" s="6"/>
      <c r="R154" s="56"/>
      <c r="S154" s="59"/>
      <c r="T154" s="6"/>
      <c r="U154" s="23"/>
      <c r="V154" s="6"/>
      <c r="W154" s="6"/>
      <c r="X154" s="6"/>
      <c r="Y154" s="6"/>
      <c r="Z154" s="24"/>
      <c r="AA154" s="159"/>
      <c r="AB154" s="6"/>
      <c r="AC154" s="24"/>
      <c r="AD154" s="159"/>
      <c r="AE154" s="159"/>
      <c r="AF154" s="6"/>
      <c r="AG154" s="59"/>
      <c r="AH154" s="23"/>
      <c r="AI154" s="6"/>
      <c r="AJ154" s="6"/>
      <c r="AK154" s="6"/>
      <c r="AL154" s="101">
        <f t="shared" si="13"/>
        <v>0</v>
      </c>
    </row>
    <row r="155" spans="1:38" ht="25.5" x14ac:dyDescent="0.2">
      <c r="A155" s="18" t="s">
        <v>248</v>
      </c>
      <c r="B155" s="294"/>
      <c r="C155" s="189"/>
      <c r="D155" s="31"/>
      <c r="E155" s="31"/>
      <c r="F155" s="216"/>
      <c r="G155" s="31"/>
      <c r="H155" s="6"/>
      <c r="I155" s="6">
        <v>11567.78</v>
      </c>
      <c r="J155" s="6"/>
      <c r="K155" s="59"/>
      <c r="L155" s="47"/>
      <c r="M155" s="6"/>
      <c r="N155" s="6"/>
      <c r="O155" s="24"/>
      <c r="P155" s="56"/>
      <c r="Q155" s="6"/>
      <c r="R155" s="56"/>
      <c r="S155" s="59"/>
      <c r="T155" s="6"/>
      <c r="U155" s="23"/>
      <c r="V155" s="6"/>
      <c r="W155" s="6"/>
      <c r="X155" s="6"/>
      <c r="Y155" s="6"/>
      <c r="Z155" s="24"/>
      <c r="AA155" s="159"/>
      <c r="AB155" s="6"/>
      <c r="AC155" s="24"/>
      <c r="AD155" s="159"/>
      <c r="AE155" s="159"/>
      <c r="AF155" s="6"/>
      <c r="AG155" s="59"/>
      <c r="AH155" s="23"/>
      <c r="AI155" s="6"/>
      <c r="AJ155" s="6"/>
      <c r="AK155" s="6"/>
      <c r="AL155" s="101">
        <f t="shared" si="13"/>
        <v>0</v>
      </c>
    </row>
    <row r="156" spans="1:38" s="8" customFormat="1" x14ac:dyDescent="0.2">
      <c r="A156" s="17" t="s">
        <v>29</v>
      </c>
      <c r="B156" s="289"/>
      <c r="C156" s="161">
        <f>SUM(C139:C155)</f>
        <v>0</v>
      </c>
      <c r="D156" s="25">
        <f t="shared" ref="D156:AK156" si="17">SUM(D139:D155)</f>
        <v>0</v>
      </c>
      <c r="E156" s="25">
        <f t="shared" si="17"/>
        <v>19688.03</v>
      </c>
      <c r="F156" s="25">
        <f t="shared" si="17"/>
        <v>0</v>
      </c>
      <c r="G156" s="25">
        <f t="shared" si="17"/>
        <v>0</v>
      </c>
      <c r="H156" s="25">
        <f t="shared" si="17"/>
        <v>0</v>
      </c>
      <c r="I156" s="25">
        <f t="shared" si="17"/>
        <v>127907.14</v>
      </c>
      <c r="J156" s="25">
        <f t="shared" si="17"/>
        <v>0</v>
      </c>
      <c r="K156" s="25">
        <f t="shared" si="17"/>
        <v>19688.04</v>
      </c>
      <c r="L156" s="25">
        <f t="shared" si="17"/>
        <v>0</v>
      </c>
      <c r="M156" s="25">
        <f t="shared" si="17"/>
        <v>201082</v>
      </c>
      <c r="N156" s="25">
        <f t="shared" si="17"/>
        <v>76009</v>
      </c>
      <c r="O156" s="25">
        <f t="shared" si="17"/>
        <v>17403</v>
      </c>
      <c r="P156" s="25">
        <f t="shared" si="17"/>
        <v>0</v>
      </c>
      <c r="Q156" s="25">
        <f t="shared" si="17"/>
        <v>60000</v>
      </c>
      <c r="R156" s="25">
        <f t="shared" si="17"/>
        <v>73320</v>
      </c>
      <c r="S156" s="25">
        <f t="shared" si="17"/>
        <v>67426</v>
      </c>
      <c r="T156" s="25">
        <f t="shared" si="17"/>
        <v>0</v>
      </c>
      <c r="U156" s="25">
        <f t="shared" si="17"/>
        <v>0</v>
      </c>
      <c r="V156" s="25">
        <f t="shared" si="17"/>
        <v>0</v>
      </c>
      <c r="W156" s="25">
        <f t="shared" si="17"/>
        <v>0</v>
      </c>
      <c r="X156" s="25">
        <f t="shared" si="17"/>
        <v>220500</v>
      </c>
      <c r="Y156" s="25">
        <f t="shared" si="17"/>
        <v>64500</v>
      </c>
      <c r="Z156" s="25">
        <f t="shared" si="17"/>
        <v>64550</v>
      </c>
      <c r="AA156" s="25">
        <f t="shared" si="17"/>
        <v>0</v>
      </c>
      <c r="AB156" s="25">
        <f t="shared" si="17"/>
        <v>242000</v>
      </c>
      <c r="AC156" s="25">
        <f t="shared" si="17"/>
        <v>261250</v>
      </c>
      <c r="AD156" s="25">
        <f t="shared" si="17"/>
        <v>0</v>
      </c>
      <c r="AE156" s="25">
        <f t="shared" si="17"/>
        <v>0</v>
      </c>
      <c r="AF156" s="25">
        <f t="shared" si="17"/>
        <v>81000</v>
      </c>
      <c r="AG156" s="142">
        <f t="shared" si="17"/>
        <v>164750</v>
      </c>
      <c r="AH156" s="322">
        <f t="shared" si="17"/>
        <v>0</v>
      </c>
      <c r="AI156" s="322">
        <f t="shared" si="17"/>
        <v>0</v>
      </c>
      <c r="AJ156" s="322">
        <f t="shared" si="17"/>
        <v>0</v>
      </c>
      <c r="AK156" s="323">
        <f t="shared" si="17"/>
        <v>52950</v>
      </c>
      <c r="AL156" s="101">
        <f t="shared" si="13"/>
        <v>-1.0000000009313226E-2</v>
      </c>
    </row>
    <row r="157" spans="1:38" s="37" customFormat="1" x14ac:dyDescent="0.2">
      <c r="A157" s="281" t="s">
        <v>109</v>
      </c>
      <c r="B157" s="301" t="s">
        <v>285</v>
      </c>
      <c r="C157" s="146"/>
      <c r="D157" s="43"/>
      <c r="E157" s="43"/>
      <c r="F157" s="213"/>
      <c r="G157" s="43"/>
      <c r="H157" s="44"/>
      <c r="I157" s="45"/>
      <c r="J157" s="45">
        <v>0</v>
      </c>
      <c r="K157" s="58"/>
      <c r="L157" s="43"/>
      <c r="M157" s="45"/>
      <c r="N157" s="45"/>
      <c r="O157" s="46"/>
      <c r="P157" s="55"/>
      <c r="Q157" s="45"/>
      <c r="R157" s="55"/>
      <c r="S157" s="58"/>
      <c r="T157" s="45"/>
      <c r="U157" s="43"/>
      <c r="V157" s="45"/>
      <c r="W157" s="45"/>
      <c r="X157" s="45"/>
      <c r="Y157" s="45"/>
      <c r="Z157" s="46"/>
      <c r="AA157" s="146"/>
      <c r="AB157" s="45"/>
      <c r="AC157" s="46"/>
      <c r="AD157" s="146"/>
      <c r="AE157" s="146"/>
      <c r="AF157" s="45"/>
      <c r="AG157" s="58"/>
      <c r="AH157" s="43"/>
      <c r="AI157" s="45"/>
      <c r="AJ157" s="45"/>
      <c r="AK157" s="45"/>
      <c r="AL157" s="101">
        <f t="shared" si="13"/>
        <v>0</v>
      </c>
    </row>
    <row r="158" spans="1:38" s="37" customFormat="1" x14ac:dyDescent="0.2">
      <c r="A158" s="281" t="s">
        <v>110</v>
      </c>
      <c r="B158" s="301" t="s">
        <v>268</v>
      </c>
      <c r="C158" s="146"/>
      <c r="D158" s="43"/>
      <c r="E158" s="43">
        <v>205.7</v>
      </c>
      <c r="F158" s="213"/>
      <c r="G158" s="43"/>
      <c r="H158" s="44"/>
      <c r="I158" s="45"/>
      <c r="J158" s="45">
        <v>11350</v>
      </c>
      <c r="K158" s="58">
        <v>5141.72</v>
      </c>
      <c r="L158" s="43"/>
      <c r="M158" s="45"/>
      <c r="N158" s="45">
        <v>25000</v>
      </c>
      <c r="O158" s="46">
        <v>24500</v>
      </c>
      <c r="P158" s="55"/>
      <c r="Q158" s="45"/>
      <c r="R158" s="55">
        <v>2270</v>
      </c>
      <c r="S158" s="58">
        <v>9184</v>
      </c>
      <c r="T158" s="45"/>
      <c r="U158" s="43"/>
      <c r="V158" s="45"/>
      <c r="W158" s="45"/>
      <c r="X158" s="45"/>
      <c r="Y158" s="45"/>
      <c r="Z158" s="46"/>
      <c r="AA158" s="146"/>
      <c r="AB158" s="45"/>
      <c r="AC158" s="46"/>
      <c r="AD158" s="146"/>
      <c r="AE158" s="146"/>
      <c r="AF158" s="45"/>
      <c r="AG158" s="58"/>
      <c r="AH158" s="43"/>
      <c r="AI158" s="45"/>
      <c r="AJ158" s="45"/>
      <c r="AK158" s="45"/>
      <c r="AL158" s="101">
        <f t="shared" si="13"/>
        <v>-2.0000000004074536E-2</v>
      </c>
    </row>
    <row r="159" spans="1:38" s="8" customFormat="1" x14ac:dyDescent="0.2">
      <c r="A159" s="17" t="s">
        <v>32</v>
      </c>
      <c r="B159" s="289"/>
      <c r="C159" s="161">
        <f t="shared" ref="C159:V159" si="18">SUM(C157:C158)</f>
        <v>0</v>
      </c>
      <c r="D159" s="25">
        <f t="shared" si="18"/>
        <v>0</v>
      </c>
      <c r="E159" s="25">
        <f t="shared" si="18"/>
        <v>205.7</v>
      </c>
      <c r="F159" s="142">
        <f t="shared" si="18"/>
        <v>0</v>
      </c>
      <c r="G159" s="199">
        <f t="shared" si="18"/>
        <v>0</v>
      </c>
      <c r="H159" s="191">
        <f t="shared" si="18"/>
        <v>0</v>
      </c>
      <c r="I159" s="191">
        <f t="shared" si="18"/>
        <v>0</v>
      </c>
      <c r="J159" s="191">
        <f t="shared" si="18"/>
        <v>11350</v>
      </c>
      <c r="K159" s="218">
        <f t="shared" si="18"/>
        <v>5141.72</v>
      </c>
      <c r="L159" s="199">
        <f t="shared" si="18"/>
        <v>0</v>
      </c>
      <c r="M159" s="191">
        <f t="shared" si="18"/>
        <v>0</v>
      </c>
      <c r="N159" s="191">
        <f t="shared" si="18"/>
        <v>25000</v>
      </c>
      <c r="O159" s="200">
        <f t="shared" si="18"/>
        <v>24500</v>
      </c>
      <c r="P159" s="15"/>
      <c r="Q159" s="191">
        <f t="shared" si="18"/>
        <v>0</v>
      </c>
      <c r="R159" s="15">
        <f t="shared" si="18"/>
        <v>2270</v>
      </c>
      <c r="S159" s="60">
        <f t="shared" si="18"/>
        <v>9184</v>
      </c>
      <c r="T159" s="60">
        <f t="shared" si="18"/>
        <v>0</v>
      </c>
      <c r="U159" s="199"/>
      <c r="V159" s="191">
        <f t="shared" si="18"/>
        <v>0</v>
      </c>
      <c r="W159" s="191">
        <f>SUM(W157:W158)</f>
        <v>0</v>
      </c>
      <c r="X159" s="191">
        <f t="shared" ref="X159:AK159" si="19">SUM(X157:X158)</f>
        <v>0</v>
      </c>
      <c r="Y159" s="191">
        <f t="shared" si="19"/>
        <v>0</v>
      </c>
      <c r="Z159" s="200">
        <f t="shared" si="19"/>
        <v>0</v>
      </c>
      <c r="AA159" s="191">
        <f t="shared" si="19"/>
        <v>0</v>
      </c>
      <c r="AB159" s="191">
        <f t="shared" si="19"/>
        <v>0</v>
      </c>
      <c r="AC159" s="200">
        <f t="shared" si="19"/>
        <v>0</v>
      </c>
      <c r="AD159" s="15">
        <f t="shared" si="19"/>
        <v>0</v>
      </c>
      <c r="AE159" s="15">
        <f t="shared" si="19"/>
        <v>0</v>
      </c>
      <c r="AF159" s="15">
        <f t="shared" si="19"/>
        <v>0</v>
      </c>
      <c r="AG159" s="15">
        <f t="shared" si="19"/>
        <v>0</v>
      </c>
      <c r="AH159" s="322">
        <f t="shared" si="19"/>
        <v>0</v>
      </c>
      <c r="AI159" s="322">
        <f t="shared" si="19"/>
        <v>0</v>
      </c>
      <c r="AJ159" s="322">
        <f t="shared" si="19"/>
        <v>0</v>
      </c>
      <c r="AK159" s="324">
        <f t="shared" si="19"/>
        <v>0</v>
      </c>
      <c r="AL159" s="101">
        <f t="shared" si="13"/>
        <v>-2.0000000004074536E-2</v>
      </c>
    </row>
    <row r="160" spans="1:38" s="37" customFormat="1" x14ac:dyDescent="0.2">
      <c r="A160" s="133" t="s">
        <v>111</v>
      </c>
      <c r="B160" s="302"/>
      <c r="C160" s="146"/>
      <c r="D160" s="43"/>
      <c r="E160" s="43"/>
      <c r="F160" s="213"/>
      <c r="G160" s="43"/>
      <c r="H160" s="44"/>
      <c r="I160" s="45"/>
      <c r="J160" s="45"/>
      <c r="K160" s="58"/>
      <c r="L160" s="43"/>
      <c r="M160" s="45">
        <v>8443</v>
      </c>
      <c r="N160" s="45">
        <v>47100</v>
      </c>
      <c r="O160" s="46"/>
      <c r="P160" s="55"/>
      <c r="Q160" s="45">
        <v>27770</v>
      </c>
      <c r="R160" s="55">
        <v>150900</v>
      </c>
      <c r="S160" s="58">
        <v>198000</v>
      </c>
      <c r="T160" s="45"/>
      <c r="U160" s="43"/>
      <c r="V160" s="45"/>
      <c r="W160" s="45"/>
      <c r="X160" s="45"/>
      <c r="Y160" s="45"/>
      <c r="Z160" s="46"/>
      <c r="AA160" s="146"/>
      <c r="AB160" s="45"/>
      <c r="AC160" s="46"/>
      <c r="AD160" s="146"/>
      <c r="AE160" s="146"/>
      <c r="AF160" s="45"/>
      <c r="AG160" s="58"/>
      <c r="AH160" s="43"/>
      <c r="AI160" s="45"/>
      <c r="AJ160" s="45"/>
      <c r="AK160" s="45"/>
      <c r="AL160" s="101">
        <f t="shared" si="13"/>
        <v>0</v>
      </c>
    </row>
    <row r="161" spans="1:38" s="8" customFormat="1" x14ac:dyDescent="0.2">
      <c r="A161" s="17" t="s">
        <v>112</v>
      </c>
      <c r="B161" s="289"/>
      <c r="C161" s="161">
        <f t="shared" ref="C161:V161" si="20">SUBTOTAL(9,C160)</f>
        <v>0</v>
      </c>
      <c r="D161" s="1">
        <f t="shared" si="20"/>
        <v>0</v>
      </c>
      <c r="E161" s="1">
        <f t="shared" si="20"/>
        <v>0</v>
      </c>
      <c r="F161" s="60">
        <f t="shared" si="20"/>
        <v>0</v>
      </c>
      <c r="G161" s="199">
        <f t="shared" si="20"/>
        <v>0</v>
      </c>
      <c r="H161" s="191">
        <f t="shared" si="20"/>
        <v>0</v>
      </c>
      <c r="I161" s="191">
        <f t="shared" si="20"/>
        <v>0</v>
      </c>
      <c r="J161" s="191">
        <f t="shared" si="20"/>
        <v>0</v>
      </c>
      <c r="K161" s="218">
        <f t="shared" si="20"/>
        <v>0</v>
      </c>
      <c r="L161" s="199">
        <f t="shared" si="20"/>
        <v>0</v>
      </c>
      <c r="M161" s="191">
        <f t="shared" si="20"/>
        <v>8443</v>
      </c>
      <c r="N161" s="191">
        <f t="shared" si="20"/>
        <v>47100</v>
      </c>
      <c r="O161" s="200">
        <f t="shared" si="20"/>
        <v>0</v>
      </c>
      <c r="P161" s="200">
        <f t="shared" si="20"/>
        <v>0</v>
      </c>
      <c r="Q161" s="191">
        <f t="shared" si="20"/>
        <v>27770</v>
      </c>
      <c r="R161" s="15">
        <f>SUM(R160)</f>
        <v>150900</v>
      </c>
      <c r="S161" s="60">
        <f t="shared" si="20"/>
        <v>198000</v>
      </c>
      <c r="T161" s="60">
        <f t="shared" si="20"/>
        <v>0</v>
      </c>
      <c r="U161" s="199"/>
      <c r="V161" s="191">
        <f t="shared" si="20"/>
        <v>0</v>
      </c>
      <c r="W161" s="191">
        <f>SUM(W160)</f>
        <v>0</v>
      </c>
      <c r="X161" s="191">
        <f t="shared" ref="X161:AK161" si="21">SUM(X160)</f>
        <v>0</v>
      </c>
      <c r="Y161" s="191">
        <f t="shared" si="21"/>
        <v>0</v>
      </c>
      <c r="Z161" s="200">
        <f t="shared" si="21"/>
        <v>0</v>
      </c>
      <c r="AA161" s="191">
        <f t="shared" si="21"/>
        <v>0</v>
      </c>
      <c r="AB161" s="191">
        <f t="shared" si="21"/>
        <v>0</v>
      </c>
      <c r="AC161" s="200">
        <f t="shared" si="21"/>
        <v>0</v>
      </c>
      <c r="AD161" s="15">
        <f t="shared" si="21"/>
        <v>0</v>
      </c>
      <c r="AE161" s="15">
        <f t="shared" si="21"/>
        <v>0</v>
      </c>
      <c r="AF161" s="15">
        <f t="shared" si="21"/>
        <v>0</v>
      </c>
      <c r="AG161" s="15">
        <f t="shared" si="21"/>
        <v>0</v>
      </c>
      <c r="AH161" s="322">
        <f t="shared" si="21"/>
        <v>0</v>
      </c>
      <c r="AI161" s="322">
        <f t="shared" si="21"/>
        <v>0</v>
      </c>
      <c r="AJ161" s="322">
        <f t="shared" si="21"/>
        <v>0</v>
      </c>
      <c r="AK161" s="324">
        <f t="shared" si="21"/>
        <v>0</v>
      </c>
      <c r="AL161" s="101">
        <f t="shared" si="13"/>
        <v>0</v>
      </c>
    </row>
    <row r="162" spans="1:38" s="8" customFormat="1" ht="18.75" customHeight="1" x14ac:dyDescent="0.2">
      <c r="A162" s="73"/>
      <c r="B162" s="303"/>
      <c r="C162" s="163">
        <f t="shared" ref="C162:AC162" si="22">C161+C47+C159+C156+C138+C84+C66+C42+C5</f>
        <v>0</v>
      </c>
      <c r="D162" s="74">
        <f t="shared" si="22"/>
        <v>459878.44561000005</v>
      </c>
      <c r="E162" s="74">
        <f t="shared" si="22"/>
        <v>312288.5</v>
      </c>
      <c r="F162" s="74">
        <f t="shared" si="22"/>
        <v>331976.3</v>
      </c>
      <c r="G162" s="74">
        <f t="shared" si="22"/>
        <v>169407.29</v>
      </c>
      <c r="H162" s="74">
        <f t="shared" si="22"/>
        <v>1028.5999999999999</v>
      </c>
      <c r="I162" s="74">
        <f t="shared" si="22"/>
        <v>559738.06000000006</v>
      </c>
      <c r="J162" s="282">
        <f t="shared" si="22"/>
        <v>385975.47</v>
      </c>
      <c r="K162" s="74">
        <f t="shared" si="22"/>
        <v>476198.64</v>
      </c>
      <c r="L162" s="74">
        <f t="shared" si="22"/>
        <v>26506</v>
      </c>
      <c r="M162" s="74">
        <f t="shared" si="22"/>
        <v>1212489</v>
      </c>
      <c r="N162" s="74">
        <f t="shared" si="22"/>
        <v>872345</v>
      </c>
      <c r="O162" s="74">
        <f t="shared" si="22"/>
        <v>458277</v>
      </c>
      <c r="P162" s="74">
        <f t="shared" si="22"/>
        <v>126704</v>
      </c>
      <c r="Q162" s="74">
        <f t="shared" si="22"/>
        <v>1052686</v>
      </c>
      <c r="R162" s="74">
        <f t="shared" si="22"/>
        <v>1291177</v>
      </c>
      <c r="S162" s="74">
        <f t="shared" si="22"/>
        <v>1206390</v>
      </c>
      <c r="T162" s="74">
        <f t="shared" si="22"/>
        <v>42000</v>
      </c>
      <c r="U162" s="74">
        <f t="shared" si="22"/>
        <v>105927</v>
      </c>
      <c r="V162" s="74">
        <f t="shared" si="22"/>
        <v>147312</v>
      </c>
      <c r="W162" s="74">
        <f t="shared" si="22"/>
        <v>0</v>
      </c>
      <c r="X162" s="74">
        <f t="shared" si="22"/>
        <v>1598215</v>
      </c>
      <c r="Y162" s="74">
        <f t="shared" si="22"/>
        <v>842100</v>
      </c>
      <c r="Z162" s="74">
        <f t="shared" si="22"/>
        <v>241150</v>
      </c>
      <c r="AA162" s="74">
        <f t="shared" si="22"/>
        <v>148617</v>
      </c>
      <c r="AB162" s="74">
        <f t="shared" si="22"/>
        <v>1744505</v>
      </c>
      <c r="AC162" s="74">
        <f t="shared" si="22"/>
        <v>1846965</v>
      </c>
      <c r="AD162" s="74"/>
      <c r="AE162" s="74">
        <f>AE161+AE47+AE159+AE156+AE138+AE84+AE66+AE42+AE5</f>
        <v>0</v>
      </c>
      <c r="AF162" s="74">
        <f>AF161+AF47+AF159+AF156+AF138+AF84+AF66+AF42+AF5</f>
        <v>1164852</v>
      </c>
      <c r="AG162" s="143">
        <f>AG161+AG47+AG159+AG156+AG138+AG84+AG66+AG42+AG5</f>
        <v>1517580</v>
      </c>
      <c r="AH162" s="325"/>
      <c r="AI162" s="326">
        <f>AI161+AI47+AI159+AI156+AI138+AI84+AI66+AI42+AI5</f>
        <v>0</v>
      </c>
      <c r="AJ162" s="326">
        <f>AJ161+AJ47+AJ159+AJ156+AJ138+AJ84+AJ66+AJ42+AJ5</f>
        <v>0</v>
      </c>
      <c r="AK162" s="327">
        <f>AK161+AK47+AK159+AK156+AK138+AK84+AK66+AK42+AK5</f>
        <v>1011250</v>
      </c>
      <c r="AL162" s="101">
        <f t="shared" si="13"/>
        <v>6722.4756100000814</v>
      </c>
    </row>
    <row r="163" spans="1:38" s="8" customFormat="1" x14ac:dyDescent="0.2">
      <c r="A163" s="2"/>
      <c r="B163" s="5"/>
      <c r="C163" s="3"/>
      <c r="D163" s="29"/>
      <c r="E163" s="29"/>
      <c r="F163" s="29">
        <f>D162+E162-F162</f>
        <v>440190.64561000007</v>
      </c>
      <c r="G163" s="153"/>
      <c r="H163" s="144"/>
      <c r="I163" s="144"/>
      <c r="J163" s="144"/>
      <c r="K163" s="220">
        <f>F163+J162-K162</f>
        <v>349967.47560999996</v>
      </c>
      <c r="L163" s="153"/>
      <c r="M163" s="144"/>
      <c r="N163" s="144"/>
      <c r="O163" s="154">
        <f>K163+N162-O162</f>
        <v>764035.47561000008</v>
      </c>
      <c r="P163" s="3"/>
      <c r="Q163" s="144"/>
      <c r="R163" s="3"/>
      <c r="S163" s="3">
        <f>O163+R162-S162</f>
        <v>848822.47561000008</v>
      </c>
      <c r="T163" s="144"/>
      <c r="U163" s="153"/>
      <c r="V163" s="144"/>
      <c r="W163" s="144"/>
      <c r="X163" s="144"/>
      <c r="Y163" s="144">
        <f>S163+W162-Y162</f>
        <v>6722.4756100000814</v>
      </c>
      <c r="Z163" s="154"/>
      <c r="AA163" s="3"/>
      <c r="AB163" s="194"/>
      <c r="AC163" s="195"/>
      <c r="AD163" s="3"/>
      <c r="AE163" s="164"/>
      <c r="AF163" s="144"/>
      <c r="AG163" s="220"/>
      <c r="AH163" s="328"/>
      <c r="AI163" s="144"/>
      <c r="AJ163" s="144"/>
      <c r="AK163" s="144"/>
      <c r="AL163" s="101">
        <f t="shared" si="13"/>
        <v>-2409738.5480500003</v>
      </c>
    </row>
    <row r="164" spans="1:38" s="8" customFormat="1" ht="38.25" x14ac:dyDescent="0.2">
      <c r="A164" s="51" t="s">
        <v>137</v>
      </c>
      <c r="B164" s="196"/>
      <c r="C164" s="165"/>
      <c r="D164" s="66"/>
      <c r="E164" s="66"/>
      <c r="F164" s="217"/>
      <c r="G164" s="66"/>
      <c r="H164" s="67"/>
      <c r="I164" s="67"/>
      <c r="J164" s="67"/>
      <c r="K164" s="68"/>
      <c r="L164" s="66"/>
      <c r="M164" s="67"/>
      <c r="N164" s="67"/>
      <c r="O164" s="69"/>
      <c r="P164" s="70"/>
      <c r="Q164" s="67"/>
      <c r="R164" s="70"/>
      <c r="S164" s="68"/>
      <c r="T164" s="67"/>
      <c r="U164" s="66"/>
      <c r="V164" s="67"/>
      <c r="W164" s="67"/>
      <c r="X164" s="67"/>
      <c r="Y164" s="67"/>
      <c r="Z164" s="69"/>
      <c r="AA164" s="70"/>
      <c r="AB164" s="66"/>
      <c r="AC164" s="69"/>
      <c r="AD164" s="70"/>
      <c r="AE164" s="165"/>
      <c r="AF164" s="67"/>
      <c r="AG164" s="68"/>
      <c r="AH164" s="66"/>
      <c r="AI164" s="67"/>
      <c r="AJ164" s="67"/>
      <c r="AK164" s="67"/>
      <c r="AL164" s="101">
        <f t="shared" si="13"/>
        <v>0</v>
      </c>
    </row>
    <row r="165" spans="1:38" s="8" customFormat="1" ht="38.25" x14ac:dyDescent="0.2">
      <c r="A165" s="52" t="s">
        <v>117</v>
      </c>
      <c r="B165" s="294">
        <v>8992604006</v>
      </c>
      <c r="C165" s="146"/>
      <c r="D165" s="43"/>
      <c r="E165" s="43">
        <v>4200.32</v>
      </c>
      <c r="F165" s="213">
        <v>0</v>
      </c>
      <c r="G165" s="43"/>
      <c r="H165" s="44"/>
      <c r="I165" s="45"/>
      <c r="J165" s="45"/>
      <c r="K165" s="58">
        <f>4246-45</f>
        <v>4201</v>
      </c>
      <c r="L165" s="43"/>
      <c r="M165" s="45"/>
      <c r="N165" s="45"/>
      <c r="O165" s="46"/>
      <c r="P165" s="55"/>
      <c r="Q165" s="45"/>
      <c r="R165" s="55"/>
      <c r="S165" s="58"/>
      <c r="T165" s="45"/>
      <c r="U165" s="43"/>
      <c r="V165" s="45"/>
      <c r="W165" s="45"/>
      <c r="X165" s="45"/>
      <c r="Y165" s="45"/>
      <c r="Z165" s="46"/>
      <c r="AA165" s="55"/>
      <c r="AB165" s="43"/>
      <c r="AC165" s="46"/>
      <c r="AD165" s="55"/>
      <c r="AE165" s="146"/>
      <c r="AF165" s="45"/>
      <c r="AG165" s="58"/>
      <c r="AH165" s="43"/>
      <c r="AI165" s="45"/>
      <c r="AJ165" s="45"/>
      <c r="AK165" s="45"/>
      <c r="AL165" s="101">
        <f t="shared" si="13"/>
        <v>-0.68000000000029104</v>
      </c>
    </row>
    <row r="166" spans="1:38" s="8" customFormat="1" ht="25.5" x14ac:dyDescent="0.2">
      <c r="A166" s="283" t="s">
        <v>118</v>
      </c>
      <c r="B166" s="304">
        <v>8992604003</v>
      </c>
      <c r="C166" s="146"/>
      <c r="D166" s="43"/>
      <c r="E166" s="43">
        <v>12485.01</v>
      </c>
      <c r="F166" s="213"/>
      <c r="G166" s="43"/>
      <c r="H166" s="44"/>
      <c r="I166" s="45"/>
      <c r="J166" s="45">
        <f>1198.5-1164.36</f>
        <v>34.1400000000001</v>
      </c>
      <c r="K166" s="58">
        <f>13684-1164.36</f>
        <v>12519.64</v>
      </c>
      <c r="L166" s="43"/>
      <c r="M166" s="45"/>
      <c r="N166" s="45"/>
      <c r="O166" s="46"/>
      <c r="P166" s="55"/>
      <c r="Q166" s="45"/>
      <c r="R166" s="55"/>
      <c r="S166" s="58"/>
      <c r="T166" s="45"/>
      <c r="U166" s="43"/>
      <c r="V166" s="45"/>
      <c r="W166" s="45"/>
      <c r="X166" s="45"/>
      <c r="Y166" s="45"/>
      <c r="Z166" s="46"/>
      <c r="AA166" s="55"/>
      <c r="AB166" s="43"/>
      <c r="AC166" s="46"/>
      <c r="AD166" s="55"/>
      <c r="AE166" s="146"/>
      <c r="AF166" s="45"/>
      <c r="AG166" s="58"/>
      <c r="AH166" s="43"/>
      <c r="AI166" s="45"/>
      <c r="AJ166" s="45"/>
      <c r="AK166" s="45"/>
      <c r="AL166" s="101">
        <f t="shared" si="13"/>
        <v>-0.48999999999978172</v>
      </c>
    </row>
    <row r="167" spans="1:38" s="8" customFormat="1" ht="25.5" x14ac:dyDescent="0.2">
      <c r="A167" s="283" t="s">
        <v>119</v>
      </c>
      <c r="B167" s="304">
        <v>8992604005</v>
      </c>
      <c r="C167" s="146"/>
      <c r="D167" s="43"/>
      <c r="E167" s="43">
        <v>731.76</v>
      </c>
      <c r="F167" s="213"/>
      <c r="G167" s="43"/>
      <c r="H167" s="44"/>
      <c r="I167" s="45"/>
      <c r="J167" s="45">
        <v>11.66</v>
      </c>
      <c r="K167" s="58"/>
      <c r="L167" s="43"/>
      <c r="M167" s="45"/>
      <c r="N167" s="45"/>
      <c r="O167" s="46">
        <v>743.42</v>
      </c>
      <c r="P167" s="55"/>
      <c r="Q167" s="45"/>
      <c r="R167" s="55"/>
      <c r="S167" s="58"/>
      <c r="T167" s="45"/>
      <c r="U167" s="43"/>
      <c r="V167" s="45"/>
      <c r="W167" s="45"/>
      <c r="X167" s="45"/>
      <c r="Y167" s="45"/>
      <c r="Z167" s="46"/>
      <c r="AA167" s="55"/>
      <c r="AB167" s="43"/>
      <c r="AC167" s="46"/>
      <c r="AD167" s="55"/>
      <c r="AE167" s="146"/>
      <c r="AF167" s="45"/>
      <c r="AG167" s="58"/>
      <c r="AH167" s="43"/>
      <c r="AI167" s="45"/>
      <c r="AJ167" s="45"/>
      <c r="AK167" s="45"/>
      <c r="AL167" s="101">
        <f t="shared" si="13"/>
        <v>0</v>
      </c>
    </row>
    <row r="168" spans="1:38" s="8" customFormat="1" ht="25.5" x14ac:dyDescent="0.2">
      <c r="A168" s="286" t="s">
        <v>120</v>
      </c>
      <c r="B168" s="305">
        <v>8991605009</v>
      </c>
      <c r="C168" s="146"/>
      <c r="D168" s="43"/>
      <c r="E168" s="43">
        <v>40663.625010000003</v>
      </c>
      <c r="F168" s="213"/>
      <c r="G168" s="43"/>
      <c r="H168" s="44"/>
      <c r="I168" s="45"/>
      <c r="J168" s="45">
        <v>5605.38</v>
      </c>
      <c r="K168" s="58">
        <v>46269</v>
      </c>
      <c r="L168" s="43"/>
      <c r="M168" s="45"/>
      <c r="N168" s="45"/>
      <c r="O168" s="46"/>
      <c r="P168" s="55"/>
      <c r="Q168" s="45"/>
      <c r="R168" s="55"/>
      <c r="S168" s="58"/>
      <c r="T168" s="45"/>
      <c r="U168" s="43"/>
      <c r="V168" s="45"/>
      <c r="W168" s="45"/>
      <c r="X168" s="45"/>
      <c r="Y168" s="45"/>
      <c r="Z168" s="46"/>
      <c r="AA168" s="55"/>
      <c r="AB168" s="43"/>
      <c r="AC168" s="46"/>
      <c r="AD168" s="55"/>
      <c r="AE168" s="146"/>
      <c r="AF168" s="45"/>
      <c r="AG168" s="58"/>
      <c r="AH168" s="43"/>
      <c r="AI168" s="45"/>
      <c r="AJ168" s="45"/>
      <c r="AK168" s="45"/>
      <c r="AL168" s="101">
        <f t="shared" si="13"/>
        <v>5.0100000007660128E-3</v>
      </c>
    </row>
    <row r="169" spans="1:38" s="8" customFormat="1" ht="25.5" x14ac:dyDescent="0.2">
      <c r="A169" s="286" t="s">
        <v>121</v>
      </c>
      <c r="B169" s="305">
        <v>8991605009</v>
      </c>
      <c r="C169" s="146"/>
      <c r="D169" s="43"/>
      <c r="E169" s="43">
        <v>0</v>
      </c>
      <c r="F169" s="213"/>
      <c r="G169" s="43"/>
      <c r="H169" s="44"/>
      <c r="I169" s="45"/>
      <c r="J169" s="45">
        <f>29294+22500</f>
        <v>51794</v>
      </c>
      <c r="K169" s="58"/>
      <c r="L169" s="43"/>
      <c r="M169" s="45"/>
      <c r="N169" s="45"/>
      <c r="O169" s="46">
        <v>51794</v>
      </c>
      <c r="P169" s="55"/>
      <c r="Q169" s="45"/>
      <c r="R169" s="55"/>
      <c r="S169" s="58"/>
      <c r="T169" s="45"/>
      <c r="U169" s="43"/>
      <c r="V169" s="45"/>
      <c r="W169" s="45"/>
      <c r="X169" s="45"/>
      <c r="Y169" s="45"/>
      <c r="Z169" s="46"/>
      <c r="AA169" s="55"/>
      <c r="AB169" s="43"/>
      <c r="AC169" s="46"/>
      <c r="AD169" s="55"/>
      <c r="AE169" s="146"/>
      <c r="AF169" s="45"/>
      <c r="AG169" s="58"/>
      <c r="AH169" s="43"/>
      <c r="AI169" s="45"/>
      <c r="AJ169" s="45"/>
      <c r="AK169" s="45"/>
      <c r="AL169" s="101">
        <f t="shared" ref="AL169:AL197" si="23">D169+E169+J169+N169+R169+W169-F169-K169-O169-S169-Y169</f>
        <v>0</v>
      </c>
    </row>
    <row r="170" spans="1:38" s="8" customFormat="1" ht="25.5" x14ac:dyDescent="0.2">
      <c r="A170" s="53" t="s">
        <v>122</v>
      </c>
      <c r="B170" s="306">
        <v>8991605008</v>
      </c>
      <c r="C170" s="146"/>
      <c r="D170" s="43"/>
      <c r="E170" s="43"/>
      <c r="F170" s="213"/>
      <c r="G170" s="43"/>
      <c r="H170" s="44"/>
      <c r="I170" s="45"/>
      <c r="J170" s="45"/>
      <c r="K170" s="58"/>
      <c r="L170" s="43"/>
      <c r="M170" s="45"/>
      <c r="N170" s="45"/>
      <c r="O170" s="46"/>
      <c r="P170" s="55"/>
      <c r="Q170" s="45"/>
      <c r="R170" s="55"/>
      <c r="S170" s="58"/>
      <c r="T170" s="45"/>
      <c r="U170" s="43"/>
      <c r="V170" s="45"/>
      <c r="W170" s="45"/>
      <c r="X170" s="45"/>
      <c r="Y170" s="45"/>
      <c r="Z170" s="46"/>
      <c r="AA170" s="55"/>
      <c r="AB170" s="43"/>
      <c r="AC170" s="46"/>
      <c r="AD170" s="55"/>
      <c r="AE170" s="146"/>
      <c r="AF170" s="45"/>
      <c r="AG170" s="58"/>
      <c r="AH170" s="43"/>
      <c r="AI170" s="45"/>
      <c r="AJ170" s="45"/>
      <c r="AK170" s="45"/>
      <c r="AL170" s="101">
        <f t="shared" si="23"/>
        <v>0</v>
      </c>
    </row>
    <row r="171" spans="1:38" s="8" customFormat="1" ht="25.5" x14ac:dyDescent="0.2">
      <c r="A171" s="53" t="s">
        <v>123</v>
      </c>
      <c r="B171" s="306">
        <v>8991605003</v>
      </c>
      <c r="C171" s="146"/>
      <c r="D171" s="43"/>
      <c r="E171" s="43"/>
      <c r="F171" s="213"/>
      <c r="G171" s="43"/>
      <c r="H171" s="44"/>
      <c r="I171" s="45"/>
      <c r="J171" s="45"/>
      <c r="K171" s="58"/>
      <c r="L171" s="43"/>
      <c r="M171" s="45"/>
      <c r="N171" s="45"/>
      <c r="O171" s="46"/>
      <c r="P171" s="55"/>
      <c r="Q171" s="45"/>
      <c r="R171" s="55"/>
      <c r="S171" s="58"/>
      <c r="T171" s="45"/>
      <c r="U171" s="43"/>
      <c r="V171" s="45"/>
      <c r="W171" s="45"/>
      <c r="X171" s="45"/>
      <c r="Y171" s="45"/>
      <c r="Z171" s="46"/>
      <c r="AA171" s="55"/>
      <c r="AB171" s="43"/>
      <c r="AC171" s="46"/>
      <c r="AD171" s="55"/>
      <c r="AE171" s="146"/>
      <c r="AF171" s="45"/>
      <c r="AG171" s="58"/>
      <c r="AH171" s="43"/>
      <c r="AI171" s="45"/>
      <c r="AJ171" s="45"/>
      <c r="AK171" s="45"/>
      <c r="AL171" s="101">
        <f t="shared" si="23"/>
        <v>0</v>
      </c>
    </row>
    <row r="172" spans="1:38" s="8" customFormat="1" ht="25.5" x14ac:dyDescent="0.2">
      <c r="A172" s="53" t="s">
        <v>124</v>
      </c>
      <c r="B172" s="306">
        <v>8991605014</v>
      </c>
      <c r="C172" s="146"/>
      <c r="D172" s="43"/>
      <c r="E172" s="43"/>
      <c r="F172" s="213"/>
      <c r="G172" s="43"/>
      <c r="H172" s="44"/>
      <c r="I172" s="45"/>
      <c r="J172" s="45"/>
      <c r="K172" s="58"/>
      <c r="L172" s="43"/>
      <c r="M172" s="45"/>
      <c r="N172" s="45"/>
      <c r="O172" s="46"/>
      <c r="P172" s="55"/>
      <c r="Q172" s="45"/>
      <c r="R172" s="55"/>
      <c r="S172" s="58"/>
      <c r="T172" s="45"/>
      <c r="U172" s="43"/>
      <c r="V172" s="45"/>
      <c r="W172" s="45"/>
      <c r="X172" s="45"/>
      <c r="Y172" s="45"/>
      <c r="Z172" s="46"/>
      <c r="AA172" s="55"/>
      <c r="AB172" s="43"/>
      <c r="AC172" s="46"/>
      <c r="AD172" s="55"/>
      <c r="AE172" s="146"/>
      <c r="AF172" s="45"/>
      <c r="AG172" s="58"/>
      <c r="AH172" s="43"/>
      <c r="AI172" s="45"/>
      <c r="AJ172" s="45"/>
      <c r="AK172" s="45"/>
      <c r="AL172" s="101">
        <f t="shared" si="23"/>
        <v>0</v>
      </c>
    </row>
    <row r="173" spans="1:38" s="8" customFormat="1" ht="25.5" x14ac:dyDescent="0.2">
      <c r="A173" s="53" t="s">
        <v>125</v>
      </c>
      <c r="B173" s="306"/>
      <c r="C173" s="146"/>
      <c r="D173" s="43"/>
      <c r="E173" s="43"/>
      <c r="F173" s="213"/>
      <c r="G173" s="43"/>
      <c r="H173" s="44"/>
      <c r="I173" s="45"/>
      <c r="J173" s="45"/>
      <c r="K173" s="58"/>
      <c r="L173" s="43"/>
      <c r="M173" s="45"/>
      <c r="N173" s="45"/>
      <c r="O173" s="46"/>
      <c r="P173" s="55"/>
      <c r="Q173" s="45"/>
      <c r="R173" s="55"/>
      <c r="S173" s="58"/>
      <c r="T173" s="45"/>
      <c r="U173" s="43"/>
      <c r="V173" s="45"/>
      <c r="W173" s="45"/>
      <c r="X173" s="45"/>
      <c r="Y173" s="45"/>
      <c r="Z173" s="46"/>
      <c r="AA173" s="55"/>
      <c r="AB173" s="43"/>
      <c r="AC173" s="46"/>
      <c r="AD173" s="55"/>
      <c r="AE173" s="146"/>
      <c r="AF173" s="45"/>
      <c r="AG173" s="58"/>
      <c r="AH173" s="43"/>
      <c r="AI173" s="45"/>
      <c r="AJ173" s="45"/>
      <c r="AK173" s="45"/>
      <c r="AL173" s="101">
        <f t="shared" si="23"/>
        <v>0</v>
      </c>
    </row>
    <row r="174" spans="1:38" s="8" customFormat="1" ht="25.5" x14ac:dyDescent="0.2">
      <c r="A174" s="53" t="s">
        <v>126</v>
      </c>
      <c r="B174" s="306">
        <v>8991605004</v>
      </c>
      <c r="C174" s="146"/>
      <c r="D174" s="43"/>
      <c r="E174" s="43"/>
      <c r="F174" s="213"/>
      <c r="G174" s="43"/>
      <c r="H174" s="44"/>
      <c r="I174" s="45"/>
      <c r="J174" s="45"/>
      <c r="K174" s="58"/>
      <c r="L174" s="43"/>
      <c r="M174" s="45"/>
      <c r="N174" s="45"/>
      <c r="O174" s="46"/>
      <c r="P174" s="55"/>
      <c r="Q174" s="45"/>
      <c r="R174" s="55"/>
      <c r="S174" s="58"/>
      <c r="T174" s="45"/>
      <c r="U174" s="43"/>
      <c r="V174" s="45"/>
      <c r="W174" s="45"/>
      <c r="X174" s="45"/>
      <c r="Y174" s="45"/>
      <c r="Z174" s="46"/>
      <c r="AA174" s="55"/>
      <c r="AB174" s="43"/>
      <c r="AC174" s="46"/>
      <c r="AD174" s="55"/>
      <c r="AE174" s="146"/>
      <c r="AF174" s="45"/>
      <c r="AG174" s="58"/>
      <c r="AH174" s="43"/>
      <c r="AI174" s="45"/>
      <c r="AJ174" s="45"/>
      <c r="AK174" s="45"/>
      <c r="AL174" s="101">
        <f t="shared" si="23"/>
        <v>0</v>
      </c>
    </row>
    <row r="175" spans="1:38" s="8" customFormat="1" ht="38.25" x14ac:dyDescent="0.2">
      <c r="A175" s="53" t="s">
        <v>127</v>
      </c>
      <c r="B175" s="306"/>
      <c r="C175" s="146"/>
      <c r="D175" s="43"/>
      <c r="E175" s="43"/>
      <c r="F175" s="213"/>
      <c r="G175" s="43"/>
      <c r="H175" s="44"/>
      <c r="I175" s="45"/>
      <c r="J175" s="45"/>
      <c r="K175" s="58"/>
      <c r="L175" s="43"/>
      <c r="M175" s="45"/>
      <c r="N175" s="45"/>
      <c r="O175" s="46"/>
      <c r="P175" s="55"/>
      <c r="Q175" s="45"/>
      <c r="R175" s="55"/>
      <c r="S175" s="58"/>
      <c r="T175" s="45"/>
      <c r="U175" s="43"/>
      <c r="V175" s="45"/>
      <c r="W175" s="45"/>
      <c r="X175" s="45"/>
      <c r="Y175" s="45"/>
      <c r="Z175" s="46"/>
      <c r="AA175" s="55"/>
      <c r="AB175" s="43"/>
      <c r="AC175" s="46"/>
      <c r="AD175" s="55"/>
      <c r="AE175" s="146"/>
      <c r="AF175" s="45"/>
      <c r="AG175" s="58"/>
      <c r="AH175" s="43"/>
      <c r="AI175" s="45"/>
      <c r="AJ175" s="45"/>
      <c r="AK175" s="45"/>
      <c r="AL175" s="101">
        <f t="shared" si="23"/>
        <v>0</v>
      </c>
    </row>
    <row r="176" spans="1:38" s="8" customFormat="1" ht="25.5" x14ac:dyDescent="0.2">
      <c r="A176" s="54" t="s">
        <v>128</v>
      </c>
      <c r="B176" s="307"/>
      <c r="C176" s="146"/>
      <c r="D176" s="43"/>
      <c r="E176" s="43"/>
      <c r="F176" s="213"/>
      <c r="G176" s="43"/>
      <c r="H176" s="44"/>
      <c r="I176" s="45"/>
      <c r="J176" s="45"/>
      <c r="K176" s="58"/>
      <c r="L176" s="43"/>
      <c r="M176" s="45"/>
      <c r="N176" s="45"/>
      <c r="O176" s="46"/>
      <c r="P176" s="55"/>
      <c r="Q176" s="45"/>
      <c r="R176" s="55"/>
      <c r="S176" s="58"/>
      <c r="T176" s="45"/>
      <c r="U176" s="43"/>
      <c r="V176" s="45"/>
      <c r="W176" s="45"/>
      <c r="X176" s="45"/>
      <c r="Y176" s="45"/>
      <c r="Z176" s="46"/>
      <c r="AA176" s="55"/>
      <c r="AB176" s="43"/>
      <c r="AC176" s="46"/>
      <c r="AD176" s="55"/>
      <c r="AE176" s="146"/>
      <c r="AF176" s="45"/>
      <c r="AG176" s="58"/>
      <c r="AH176" s="43"/>
      <c r="AI176" s="45"/>
      <c r="AJ176" s="45"/>
      <c r="AK176" s="45"/>
      <c r="AL176" s="101">
        <f t="shared" si="23"/>
        <v>0</v>
      </c>
    </row>
    <row r="177" spans="1:38" s="8" customFormat="1" x14ac:dyDescent="0.2">
      <c r="A177" s="50" t="s">
        <v>129</v>
      </c>
      <c r="B177" s="308"/>
      <c r="C177" s="146"/>
      <c r="D177" s="43"/>
      <c r="E177" s="43">
        <v>0</v>
      </c>
      <c r="F177" s="213"/>
      <c r="G177" s="43"/>
      <c r="H177" s="44"/>
      <c r="I177" s="45"/>
      <c r="J177" s="45"/>
      <c r="K177" s="58"/>
      <c r="L177" s="43"/>
      <c r="M177" s="45"/>
      <c r="N177" s="45"/>
      <c r="O177" s="46"/>
      <c r="P177" s="55"/>
      <c r="Q177" s="45"/>
      <c r="R177" s="55"/>
      <c r="S177" s="58"/>
      <c r="T177" s="45"/>
      <c r="U177" s="43"/>
      <c r="V177" s="45"/>
      <c r="W177" s="45"/>
      <c r="X177" s="45"/>
      <c r="Y177" s="45"/>
      <c r="Z177" s="46"/>
      <c r="AA177" s="55"/>
      <c r="AB177" s="43"/>
      <c r="AC177" s="46"/>
      <c r="AD177" s="55"/>
      <c r="AE177" s="146"/>
      <c r="AF177" s="45"/>
      <c r="AG177" s="58"/>
      <c r="AH177" s="43"/>
      <c r="AI177" s="45"/>
      <c r="AJ177" s="45"/>
      <c r="AK177" s="45"/>
      <c r="AL177" s="101">
        <f t="shared" si="23"/>
        <v>0</v>
      </c>
    </row>
    <row r="178" spans="1:38" s="8" customFormat="1" x14ac:dyDescent="0.2">
      <c r="A178" s="50" t="s">
        <v>130</v>
      </c>
      <c r="B178" s="294">
        <v>8991605014</v>
      </c>
      <c r="C178" s="146"/>
      <c r="D178" s="43"/>
      <c r="E178" s="43">
        <v>24827.701499999999</v>
      </c>
      <c r="F178" s="213">
        <v>24827.701499999999</v>
      </c>
      <c r="G178" s="43"/>
      <c r="H178" s="44"/>
      <c r="I178" s="45"/>
      <c r="J178" s="45"/>
      <c r="K178" s="58"/>
      <c r="L178" s="43"/>
      <c r="M178" s="45"/>
      <c r="N178" s="45"/>
      <c r="O178" s="46"/>
      <c r="P178" s="55"/>
      <c r="Q178" s="45"/>
      <c r="R178" s="55"/>
      <c r="S178" s="58"/>
      <c r="T178" s="45"/>
      <c r="U178" s="43"/>
      <c r="V178" s="45"/>
      <c r="W178" s="45"/>
      <c r="X178" s="45"/>
      <c r="Y178" s="45"/>
      <c r="Z178" s="46"/>
      <c r="AA178" s="55"/>
      <c r="AB178" s="43"/>
      <c r="AC178" s="46"/>
      <c r="AD178" s="55"/>
      <c r="AE178" s="146"/>
      <c r="AF178" s="45"/>
      <c r="AG178" s="58"/>
      <c r="AH178" s="43"/>
      <c r="AI178" s="45"/>
      <c r="AJ178" s="45"/>
      <c r="AK178" s="45"/>
      <c r="AL178" s="101">
        <f t="shared" si="23"/>
        <v>0</v>
      </c>
    </row>
    <row r="179" spans="1:38" s="8" customFormat="1" x14ac:dyDescent="0.2">
      <c r="A179" s="50" t="s">
        <v>131</v>
      </c>
      <c r="B179" s="294">
        <v>8991605003</v>
      </c>
      <c r="C179" s="146"/>
      <c r="D179" s="43"/>
      <c r="E179" s="43">
        <v>27000</v>
      </c>
      <c r="F179" s="213"/>
      <c r="G179" s="43"/>
      <c r="H179" s="44"/>
      <c r="I179" s="45"/>
      <c r="J179" s="45"/>
      <c r="K179" s="58">
        <v>27000</v>
      </c>
      <c r="L179" s="43"/>
      <c r="M179" s="45"/>
      <c r="N179" s="45"/>
      <c r="O179" s="46"/>
      <c r="P179" s="55"/>
      <c r="Q179" s="45"/>
      <c r="R179" s="55"/>
      <c r="S179" s="58"/>
      <c r="T179" s="45"/>
      <c r="U179" s="43"/>
      <c r="V179" s="45"/>
      <c r="W179" s="45"/>
      <c r="X179" s="45"/>
      <c r="Y179" s="45"/>
      <c r="Z179" s="46"/>
      <c r="AA179" s="55"/>
      <c r="AB179" s="43"/>
      <c r="AC179" s="46"/>
      <c r="AD179" s="55"/>
      <c r="AE179" s="146"/>
      <c r="AF179" s="45"/>
      <c r="AG179" s="58"/>
      <c r="AH179" s="43"/>
      <c r="AI179" s="45"/>
      <c r="AJ179" s="45"/>
      <c r="AK179" s="45"/>
      <c r="AL179" s="101">
        <f t="shared" si="23"/>
        <v>0</v>
      </c>
    </row>
    <row r="180" spans="1:38" s="8" customFormat="1" x14ac:dyDescent="0.2">
      <c r="A180" s="50" t="s">
        <v>132</v>
      </c>
      <c r="B180" s="294">
        <v>8991605004</v>
      </c>
      <c r="C180" s="146"/>
      <c r="D180" s="43">
        <v>24350.584500000001</v>
      </c>
      <c r="E180" s="43">
        <v>0</v>
      </c>
      <c r="F180" s="213">
        <v>24350.584500000001</v>
      </c>
      <c r="G180" s="43"/>
      <c r="H180" s="44"/>
      <c r="I180" s="45"/>
      <c r="J180" s="45"/>
      <c r="K180" s="58"/>
      <c r="L180" s="43"/>
      <c r="M180" s="45"/>
      <c r="N180" s="45"/>
      <c r="O180" s="46"/>
      <c r="P180" s="55"/>
      <c r="Q180" s="45"/>
      <c r="R180" s="55"/>
      <c r="S180" s="58"/>
      <c r="T180" s="45"/>
      <c r="U180" s="43"/>
      <c r="V180" s="45"/>
      <c r="W180" s="45"/>
      <c r="X180" s="45"/>
      <c r="Y180" s="45"/>
      <c r="Z180" s="46"/>
      <c r="AA180" s="55"/>
      <c r="AB180" s="43"/>
      <c r="AC180" s="46"/>
      <c r="AD180" s="55"/>
      <c r="AE180" s="146"/>
      <c r="AF180" s="45"/>
      <c r="AG180" s="58"/>
      <c r="AH180" s="43"/>
      <c r="AI180" s="45"/>
      <c r="AJ180" s="45"/>
      <c r="AK180" s="45"/>
      <c r="AL180" s="101">
        <f t="shared" si="23"/>
        <v>0</v>
      </c>
    </row>
    <row r="181" spans="1:38" s="8" customFormat="1" x14ac:dyDescent="0.2">
      <c r="A181" s="50" t="s">
        <v>133</v>
      </c>
      <c r="B181" s="294">
        <v>8991605009</v>
      </c>
      <c r="C181" s="146"/>
      <c r="D181" s="43"/>
      <c r="E181" s="43">
        <v>10219.720499999999</v>
      </c>
      <c r="F181" s="213"/>
      <c r="G181" s="43"/>
      <c r="H181" s="44"/>
      <c r="I181" s="45"/>
      <c r="J181" s="45"/>
      <c r="K181" s="58">
        <f>10351-131.17</f>
        <v>10219.83</v>
      </c>
      <c r="L181" s="43"/>
      <c r="M181" s="45"/>
      <c r="N181" s="45"/>
      <c r="O181" s="46"/>
      <c r="P181" s="55"/>
      <c r="Q181" s="45"/>
      <c r="R181" s="55"/>
      <c r="S181" s="58"/>
      <c r="T181" s="45"/>
      <c r="U181" s="43"/>
      <c r="V181" s="45"/>
      <c r="W181" s="45"/>
      <c r="X181" s="45"/>
      <c r="Y181" s="45"/>
      <c r="Z181" s="46"/>
      <c r="AA181" s="55"/>
      <c r="AB181" s="43"/>
      <c r="AC181" s="46"/>
      <c r="AD181" s="55"/>
      <c r="AE181" s="146"/>
      <c r="AF181" s="45"/>
      <c r="AG181" s="58"/>
      <c r="AH181" s="43"/>
      <c r="AI181" s="45"/>
      <c r="AJ181" s="45"/>
      <c r="AK181" s="45"/>
      <c r="AL181" s="101">
        <f t="shared" si="23"/>
        <v>-0.10950000000048021</v>
      </c>
    </row>
    <row r="182" spans="1:38" s="8" customFormat="1" x14ac:dyDescent="0.2">
      <c r="A182" s="287" t="s">
        <v>134</v>
      </c>
      <c r="B182" s="304">
        <v>8991605008</v>
      </c>
      <c r="C182" s="146"/>
      <c r="D182" s="43"/>
      <c r="E182" s="43">
        <v>0</v>
      </c>
      <c r="F182" s="213"/>
      <c r="G182" s="43"/>
      <c r="H182" s="44"/>
      <c r="I182" s="45"/>
      <c r="J182" s="45">
        <v>20149.77</v>
      </c>
      <c r="K182" s="58">
        <f>20169-18.76</f>
        <v>20150.240000000002</v>
      </c>
      <c r="L182" s="43"/>
      <c r="M182" s="45"/>
      <c r="N182" s="45"/>
      <c r="O182" s="46"/>
      <c r="P182" s="55"/>
      <c r="Q182" s="45"/>
      <c r="R182" s="55"/>
      <c r="S182" s="58"/>
      <c r="T182" s="45"/>
      <c r="U182" s="43"/>
      <c r="V182" s="45"/>
      <c r="W182" s="45"/>
      <c r="X182" s="45"/>
      <c r="Y182" s="45"/>
      <c r="Z182" s="46"/>
      <c r="AA182" s="55"/>
      <c r="AB182" s="43"/>
      <c r="AC182" s="46"/>
      <c r="AD182" s="55"/>
      <c r="AE182" s="146"/>
      <c r="AF182" s="45"/>
      <c r="AG182" s="58"/>
      <c r="AH182" s="43"/>
      <c r="AI182" s="45"/>
      <c r="AJ182" s="45"/>
      <c r="AK182" s="45"/>
      <c r="AL182" s="101">
        <f t="shared" si="23"/>
        <v>-0.47000000000116415</v>
      </c>
    </row>
    <row r="183" spans="1:38" s="8" customFormat="1" ht="38.25" x14ac:dyDescent="0.2">
      <c r="A183" s="54" t="s">
        <v>135</v>
      </c>
      <c r="B183" s="307"/>
      <c r="C183" s="146"/>
      <c r="D183" s="43"/>
      <c r="E183" s="43"/>
      <c r="F183" s="213"/>
      <c r="G183" s="43"/>
      <c r="H183" s="44"/>
      <c r="I183" s="45"/>
      <c r="J183" s="45"/>
      <c r="K183" s="58"/>
      <c r="L183" s="43"/>
      <c r="M183" s="45"/>
      <c r="N183" s="45"/>
      <c r="O183" s="46"/>
      <c r="P183" s="55"/>
      <c r="Q183" s="45"/>
      <c r="R183" s="55"/>
      <c r="S183" s="58"/>
      <c r="T183" s="45"/>
      <c r="U183" s="43"/>
      <c r="V183" s="45"/>
      <c r="W183" s="45"/>
      <c r="X183" s="45"/>
      <c r="Y183" s="45"/>
      <c r="Z183" s="46"/>
      <c r="AA183" s="55"/>
      <c r="AB183" s="43"/>
      <c r="AC183" s="46"/>
      <c r="AD183" s="55"/>
      <c r="AE183" s="146"/>
      <c r="AF183" s="45"/>
      <c r="AG183" s="58"/>
      <c r="AH183" s="43"/>
      <c r="AI183" s="45"/>
      <c r="AJ183" s="45"/>
      <c r="AK183" s="45"/>
      <c r="AL183" s="101">
        <f t="shared" si="23"/>
        <v>0</v>
      </c>
    </row>
    <row r="184" spans="1:38" s="8" customFormat="1" x14ac:dyDescent="0.2">
      <c r="A184" s="50" t="s">
        <v>130</v>
      </c>
      <c r="B184" s="294">
        <v>8991605014</v>
      </c>
      <c r="C184" s="146"/>
      <c r="D184" s="43"/>
      <c r="E184" s="43">
        <v>2471.8014000000003</v>
      </c>
      <c r="F184" s="213"/>
      <c r="G184" s="43"/>
      <c r="H184" s="44"/>
      <c r="I184" s="45"/>
      <c r="J184" s="45">
        <v>0</v>
      </c>
      <c r="K184" s="58">
        <v>2471.8000000000002</v>
      </c>
      <c r="L184" s="43"/>
      <c r="M184" s="45"/>
      <c r="N184" s="45"/>
      <c r="O184" s="46"/>
      <c r="P184" s="55"/>
      <c r="Q184" s="45"/>
      <c r="R184" s="55"/>
      <c r="S184" s="58"/>
      <c r="T184" s="45"/>
      <c r="U184" s="43"/>
      <c r="V184" s="45"/>
      <c r="W184" s="45"/>
      <c r="X184" s="45"/>
      <c r="Y184" s="45"/>
      <c r="Z184" s="46"/>
      <c r="AA184" s="55"/>
      <c r="AB184" s="43"/>
      <c r="AC184" s="46"/>
      <c r="AD184" s="55"/>
      <c r="AE184" s="146"/>
      <c r="AF184" s="45"/>
      <c r="AG184" s="58"/>
      <c r="AH184" s="43"/>
      <c r="AI184" s="45"/>
      <c r="AJ184" s="45"/>
      <c r="AK184" s="45"/>
      <c r="AL184" s="101">
        <f t="shared" si="23"/>
        <v>1.4000000001033186E-3</v>
      </c>
    </row>
    <row r="185" spans="1:38" s="8" customFormat="1" x14ac:dyDescent="0.2">
      <c r="A185" s="50" t="s">
        <v>131</v>
      </c>
      <c r="B185" s="294">
        <v>8991605003</v>
      </c>
      <c r="C185" s="146"/>
      <c r="D185" s="43"/>
      <c r="E185" s="43">
        <v>5671.7503100000004</v>
      </c>
      <c r="F185" s="213"/>
      <c r="G185" s="43"/>
      <c r="H185" s="44"/>
      <c r="I185" s="45"/>
      <c r="J185" s="45">
        <v>0</v>
      </c>
      <c r="K185" s="58">
        <v>5671.75</v>
      </c>
      <c r="L185" s="43"/>
      <c r="M185" s="45"/>
      <c r="N185" s="45"/>
      <c r="O185" s="46"/>
      <c r="P185" s="55"/>
      <c r="Q185" s="45"/>
      <c r="R185" s="55"/>
      <c r="S185" s="58"/>
      <c r="T185" s="45"/>
      <c r="U185" s="43"/>
      <c r="V185" s="45"/>
      <c r="W185" s="45"/>
      <c r="X185" s="45"/>
      <c r="Y185" s="45"/>
      <c r="Z185" s="46"/>
      <c r="AA185" s="55"/>
      <c r="AB185" s="43"/>
      <c r="AC185" s="46"/>
      <c r="AD185" s="55"/>
      <c r="AE185" s="146"/>
      <c r="AF185" s="45"/>
      <c r="AG185" s="58"/>
      <c r="AH185" s="43"/>
      <c r="AI185" s="45"/>
      <c r="AJ185" s="45"/>
      <c r="AK185" s="45"/>
      <c r="AL185" s="101">
        <f t="shared" si="23"/>
        <v>3.1000000035419362E-4</v>
      </c>
    </row>
    <row r="186" spans="1:38" s="8" customFormat="1" x14ac:dyDescent="0.2">
      <c r="A186" s="50" t="s">
        <v>132</v>
      </c>
      <c r="B186" s="294">
        <v>8991605004</v>
      </c>
      <c r="C186" s="146"/>
      <c r="D186" s="43"/>
      <c r="E186" s="43">
        <v>6694.4742200000001</v>
      </c>
      <c r="F186" s="213">
        <v>1111.8689999999999</v>
      </c>
      <c r="G186" s="43"/>
      <c r="H186" s="44"/>
      <c r="I186" s="45"/>
      <c r="J186" s="45">
        <v>0</v>
      </c>
      <c r="K186" s="58">
        <v>5582.61</v>
      </c>
      <c r="L186" s="43"/>
      <c r="M186" s="45"/>
      <c r="N186" s="45"/>
      <c r="O186" s="46"/>
      <c r="P186" s="55"/>
      <c r="Q186" s="45"/>
      <c r="R186" s="55"/>
      <c r="S186" s="58"/>
      <c r="T186" s="45"/>
      <c r="U186" s="43"/>
      <c r="V186" s="45"/>
      <c r="W186" s="45"/>
      <c r="X186" s="45"/>
      <c r="Y186" s="45"/>
      <c r="Z186" s="46"/>
      <c r="AA186" s="55"/>
      <c r="AB186" s="43"/>
      <c r="AC186" s="46"/>
      <c r="AD186" s="55"/>
      <c r="AE186" s="146"/>
      <c r="AF186" s="45"/>
      <c r="AG186" s="58"/>
      <c r="AH186" s="43"/>
      <c r="AI186" s="45"/>
      <c r="AJ186" s="45"/>
      <c r="AK186" s="45"/>
      <c r="AL186" s="101">
        <f t="shared" si="23"/>
        <v>-4.7799999993003439E-3</v>
      </c>
    </row>
    <row r="187" spans="1:38" s="8" customFormat="1" x14ac:dyDescent="0.2">
      <c r="A187" s="287" t="s">
        <v>133</v>
      </c>
      <c r="B187" s="304">
        <v>8991605009</v>
      </c>
      <c r="C187" s="146"/>
      <c r="D187" s="43"/>
      <c r="E187" s="43">
        <v>59.442999999999998</v>
      </c>
      <c r="F187" s="213"/>
      <c r="G187" s="43"/>
      <c r="H187" s="44"/>
      <c r="I187" s="45"/>
      <c r="J187" s="45">
        <v>3635.3399999999992</v>
      </c>
      <c r="K187" s="58">
        <v>3694.78</v>
      </c>
      <c r="L187" s="43"/>
      <c r="M187" s="45"/>
      <c r="N187" s="45"/>
      <c r="O187" s="46"/>
      <c r="P187" s="55"/>
      <c r="Q187" s="45"/>
      <c r="R187" s="55"/>
      <c r="S187" s="58"/>
      <c r="T187" s="45"/>
      <c r="U187" s="43"/>
      <c r="V187" s="45"/>
      <c r="W187" s="45"/>
      <c r="X187" s="45"/>
      <c r="Y187" s="45"/>
      <c r="Z187" s="46"/>
      <c r="AA187" s="55"/>
      <c r="AB187" s="43"/>
      <c r="AC187" s="46"/>
      <c r="AD187" s="55"/>
      <c r="AE187" s="146"/>
      <c r="AF187" s="45"/>
      <c r="AG187" s="58"/>
      <c r="AH187" s="43"/>
      <c r="AI187" s="45"/>
      <c r="AJ187" s="45"/>
      <c r="AK187" s="45"/>
      <c r="AL187" s="101">
        <f t="shared" si="23"/>
        <v>2.9999999992469384E-3</v>
      </c>
    </row>
    <row r="188" spans="1:38" s="8" customFormat="1" x14ac:dyDescent="0.2">
      <c r="A188" s="287" t="s">
        <v>134</v>
      </c>
      <c r="B188" s="304">
        <v>8991605008</v>
      </c>
      <c r="C188" s="146"/>
      <c r="D188" s="43"/>
      <c r="E188" s="43">
        <v>0</v>
      </c>
      <c r="F188" s="213"/>
      <c r="G188" s="43"/>
      <c r="H188" s="44"/>
      <c r="I188" s="45"/>
      <c r="J188" s="45">
        <v>5646.55</v>
      </c>
      <c r="K188" s="58">
        <v>5646.54</v>
      </c>
      <c r="L188" s="43"/>
      <c r="M188" s="45"/>
      <c r="N188" s="45"/>
      <c r="O188" s="46"/>
      <c r="P188" s="55"/>
      <c r="Q188" s="45"/>
      <c r="R188" s="55"/>
      <c r="S188" s="58"/>
      <c r="T188" s="45"/>
      <c r="U188" s="43"/>
      <c r="V188" s="45"/>
      <c r="W188" s="45"/>
      <c r="X188" s="45"/>
      <c r="Y188" s="45"/>
      <c r="Z188" s="46"/>
      <c r="AA188" s="55"/>
      <c r="AB188" s="43"/>
      <c r="AC188" s="46"/>
      <c r="AD188" s="55"/>
      <c r="AE188" s="146"/>
      <c r="AF188" s="45"/>
      <c r="AG188" s="58"/>
      <c r="AH188" s="43"/>
      <c r="AI188" s="45"/>
      <c r="AJ188" s="45"/>
      <c r="AK188" s="45"/>
      <c r="AL188" s="101">
        <f t="shared" si="23"/>
        <v>1.0000000000218279E-2</v>
      </c>
    </row>
    <row r="189" spans="1:38" s="8" customFormat="1" ht="25.5" x14ac:dyDescent="0.2">
      <c r="A189" s="53" t="s">
        <v>136</v>
      </c>
      <c r="B189" s="306">
        <v>8991605003</v>
      </c>
      <c r="C189" s="146"/>
      <c r="D189" s="43"/>
      <c r="E189" s="43">
        <v>13583.414140000001</v>
      </c>
      <c r="F189" s="213"/>
      <c r="G189" s="43"/>
      <c r="H189" s="44"/>
      <c r="I189" s="45"/>
      <c r="J189" s="45">
        <f>3516.58-3516.58</f>
        <v>0</v>
      </c>
      <c r="K189" s="58">
        <f>17100-3516.58</f>
        <v>13583.42</v>
      </c>
      <c r="L189" s="43"/>
      <c r="M189" s="45"/>
      <c r="N189" s="45"/>
      <c r="O189" s="46"/>
      <c r="P189" s="55"/>
      <c r="Q189" s="45"/>
      <c r="R189" s="55"/>
      <c r="S189" s="58"/>
      <c r="T189" s="45"/>
      <c r="U189" s="43"/>
      <c r="V189" s="45"/>
      <c r="W189" s="45"/>
      <c r="X189" s="45"/>
      <c r="Y189" s="45"/>
      <c r="Z189" s="46"/>
      <c r="AA189" s="55"/>
      <c r="AB189" s="43"/>
      <c r="AC189" s="46"/>
      <c r="AD189" s="55"/>
      <c r="AE189" s="146"/>
      <c r="AF189" s="45"/>
      <c r="AG189" s="58"/>
      <c r="AH189" s="43"/>
      <c r="AI189" s="45"/>
      <c r="AJ189" s="45"/>
      <c r="AK189" s="45"/>
      <c r="AL189" s="101">
        <f t="shared" si="23"/>
        <v>-5.8599999993020901E-3</v>
      </c>
    </row>
    <row r="190" spans="1:38" s="8" customFormat="1" ht="25.5" x14ac:dyDescent="0.2">
      <c r="A190" s="286" t="s">
        <v>153</v>
      </c>
      <c r="B190" s="305">
        <v>8991605009</v>
      </c>
      <c r="C190" s="146"/>
      <c r="D190" s="43"/>
      <c r="E190" s="43"/>
      <c r="F190" s="213"/>
      <c r="G190" s="43"/>
      <c r="H190" s="44"/>
      <c r="I190" s="45"/>
      <c r="J190" s="45">
        <v>5053.58</v>
      </c>
      <c r="K190" s="58"/>
      <c r="L190" s="43"/>
      <c r="M190" s="45"/>
      <c r="N190" s="45"/>
      <c r="O190" s="46">
        <v>5053.58</v>
      </c>
      <c r="P190" s="55"/>
      <c r="Q190" s="45"/>
      <c r="R190" s="55"/>
      <c r="S190" s="58"/>
      <c r="T190" s="45"/>
      <c r="U190" s="43"/>
      <c r="V190" s="45"/>
      <c r="W190" s="45"/>
      <c r="X190" s="45"/>
      <c r="Y190" s="45"/>
      <c r="Z190" s="46"/>
      <c r="AA190" s="55"/>
      <c r="AB190" s="43"/>
      <c r="AC190" s="46"/>
      <c r="AD190" s="55"/>
      <c r="AE190" s="146"/>
      <c r="AF190" s="45"/>
      <c r="AG190" s="58"/>
      <c r="AH190" s="43"/>
      <c r="AI190" s="45"/>
      <c r="AJ190" s="45"/>
      <c r="AK190" s="45"/>
      <c r="AL190" s="101">
        <f t="shared" si="23"/>
        <v>0</v>
      </c>
    </row>
    <row r="191" spans="1:38" s="8" customFormat="1" ht="25.5" x14ac:dyDescent="0.2">
      <c r="A191" s="286" t="s">
        <v>154</v>
      </c>
      <c r="B191" s="305">
        <v>8991605003</v>
      </c>
      <c r="C191" s="146"/>
      <c r="D191" s="43"/>
      <c r="E191" s="43"/>
      <c r="F191" s="213"/>
      <c r="G191" s="43"/>
      <c r="H191" s="44"/>
      <c r="I191" s="45"/>
      <c r="J191" s="45">
        <v>5071.6099999999997</v>
      </c>
      <c r="K191" s="58"/>
      <c r="L191" s="43"/>
      <c r="M191" s="45"/>
      <c r="N191" s="45"/>
      <c r="O191" s="46">
        <v>5071.6099999999997</v>
      </c>
      <c r="P191" s="55"/>
      <c r="Q191" s="45"/>
      <c r="R191" s="55"/>
      <c r="S191" s="58"/>
      <c r="T191" s="45"/>
      <c r="U191" s="43"/>
      <c r="V191" s="45"/>
      <c r="W191" s="45"/>
      <c r="X191" s="45"/>
      <c r="Y191" s="45"/>
      <c r="Z191" s="46"/>
      <c r="AA191" s="55"/>
      <c r="AB191" s="43"/>
      <c r="AC191" s="46"/>
      <c r="AD191" s="55"/>
      <c r="AE191" s="146"/>
      <c r="AF191" s="45"/>
      <c r="AG191" s="58"/>
      <c r="AH191" s="43"/>
      <c r="AI191" s="45"/>
      <c r="AJ191" s="45"/>
      <c r="AK191" s="45"/>
      <c r="AL191" s="101">
        <f t="shared" si="23"/>
        <v>0</v>
      </c>
    </row>
    <row r="192" spans="1:38" s="8" customFormat="1" ht="47.25" customHeight="1" x14ac:dyDescent="0.2">
      <c r="A192" s="53" t="s">
        <v>198</v>
      </c>
      <c r="B192" s="306"/>
      <c r="C192" s="146"/>
      <c r="D192" s="43"/>
      <c r="E192" s="43"/>
      <c r="F192" s="213"/>
      <c r="G192" s="43"/>
      <c r="H192" s="45"/>
      <c r="I192" s="45"/>
      <c r="J192" s="45"/>
      <c r="K192" s="58"/>
      <c r="L192" s="43"/>
      <c r="M192" s="45">
        <v>18821</v>
      </c>
      <c r="N192" s="45"/>
      <c r="O192" s="46"/>
      <c r="P192" s="55"/>
      <c r="Q192" s="45"/>
      <c r="R192" s="55"/>
      <c r="S192" s="58"/>
      <c r="T192" s="45"/>
      <c r="U192" s="43"/>
      <c r="V192" s="45"/>
      <c r="W192" s="45"/>
      <c r="X192" s="45"/>
      <c r="Y192" s="45"/>
      <c r="Z192" s="46"/>
      <c r="AA192" s="55"/>
      <c r="AB192" s="43"/>
      <c r="AC192" s="46"/>
      <c r="AD192" s="55"/>
      <c r="AE192" s="146"/>
      <c r="AF192" s="45"/>
      <c r="AG192" s="58"/>
      <c r="AH192" s="43"/>
      <c r="AI192" s="45"/>
      <c r="AJ192" s="45"/>
      <c r="AK192" s="45"/>
      <c r="AL192" s="101">
        <f t="shared" si="23"/>
        <v>0</v>
      </c>
    </row>
    <row r="193" spans="1:38" s="8" customFormat="1" ht="47.25" customHeight="1" x14ac:dyDescent="0.2">
      <c r="A193" s="53" t="s">
        <v>199</v>
      </c>
      <c r="B193" s="306"/>
      <c r="C193" s="146"/>
      <c r="D193" s="43"/>
      <c r="E193" s="43"/>
      <c r="F193" s="213"/>
      <c r="G193" s="43"/>
      <c r="H193" s="45"/>
      <c r="I193" s="45"/>
      <c r="J193" s="45"/>
      <c r="K193" s="58"/>
      <c r="L193" s="43"/>
      <c r="M193" s="45">
        <v>14319</v>
      </c>
      <c r="N193" s="45"/>
      <c r="O193" s="46"/>
      <c r="P193" s="55"/>
      <c r="Q193" s="45"/>
      <c r="R193" s="55"/>
      <c r="S193" s="58"/>
      <c r="T193" s="45"/>
      <c r="U193" s="43"/>
      <c r="V193" s="45"/>
      <c r="W193" s="45"/>
      <c r="X193" s="45"/>
      <c r="Y193" s="45"/>
      <c r="Z193" s="46"/>
      <c r="AA193" s="55"/>
      <c r="AB193" s="43"/>
      <c r="AC193" s="46"/>
      <c r="AD193" s="55"/>
      <c r="AE193" s="146"/>
      <c r="AF193" s="45"/>
      <c r="AG193" s="58"/>
      <c r="AH193" s="43"/>
      <c r="AI193" s="45"/>
      <c r="AJ193" s="45"/>
      <c r="AK193" s="45"/>
      <c r="AL193" s="101">
        <f t="shared" si="23"/>
        <v>0</v>
      </c>
    </row>
    <row r="194" spans="1:38" s="8" customFormat="1" ht="47.25" customHeight="1" x14ac:dyDescent="0.2">
      <c r="A194" s="53" t="s">
        <v>200</v>
      </c>
      <c r="B194" s="306"/>
      <c r="C194" s="146"/>
      <c r="D194" s="43"/>
      <c r="E194" s="43"/>
      <c r="F194" s="213"/>
      <c r="G194" s="43"/>
      <c r="H194" s="45"/>
      <c r="I194" s="45"/>
      <c r="J194" s="45"/>
      <c r="K194" s="58"/>
      <c r="L194" s="43"/>
      <c r="M194" s="45">
        <v>7079</v>
      </c>
      <c r="N194" s="45"/>
      <c r="O194" s="46"/>
      <c r="P194" s="55"/>
      <c r="Q194" s="45"/>
      <c r="R194" s="55"/>
      <c r="S194" s="58"/>
      <c r="T194" s="45"/>
      <c r="U194" s="43"/>
      <c r="V194" s="45"/>
      <c r="W194" s="45"/>
      <c r="X194" s="45"/>
      <c r="Y194" s="45"/>
      <c r="Z194" s="46"/>
      <c r="AA194" s="55"/>
      <c r="AB194" s="43"/>
      <c r="AC194" s="46"/>
      <c r="AD194" s="55"/>
      <c r="AE194" s="146"/>
      <c r="AF194" s="45"/>
      <c r="AG194" s="58"/>
      <c r="AH194" s="43"/>
      <c r="AI194" s="45"/>
      <c r="AJ194" s="45"/>
      <c r="AK194" s="45"/>
      <c r="AL194" s="101">
        <f t="shared" si="23"/>
        <v>0</v>
      </c>
    </row>
    <row r="195" spans="1:38" s="8" customFormat="1" ht="47.25" customHeight="1" x14ac:dyDescent="0.2">
      <c r="A195" s="53" t="s">
        <v>162</v>
      </c>
      <c r="B195" s="306"/>
      <c r="C195" s="146"/>
      <c r="D195" s="43"/>
      <c r="E195" s="43"/>
      <c r="F195" s="213"/>
      <c r="G195" s="43"/>
      <c r="H195" s="45"/>
      <c r="I195" s="45"/>
      <c r="J195" s="45"/>
      <c r="K195" s="58"/>
      <c r="L195" s="43"/>
      <c r="M195" s="45"/>
      <c r="N195" s="45">
        <v>2307.08</v>
      </c>
      <c r="O195" s="46"/>
      <c r="P195" s="55"/>
      <c r="Q195" s="45"/>
      <c r="R195" s="55"/>
      <c r="S195" s="58">
        <v>2307.08</v>
      </c>
      <c r="T195" s="45"/>
      <c r="U195" s="43"/>
      <c r="V195" s="45"/>
      <c r="W195" s="45"/>
      <c r="X195" s="45"/>
      <c r="Y195" s="45"/>
      <c r="Z195" s="46"/>
      <c r="AA195" s="55"/>
      <c r="AB195" s="43"/>
      <c r="AC195" s="46"/>
      <c r="AD195" s="55"/>
      <c r="AE195" s="146"/>
      <c r="AF195" s="45"/>
      <c r="AG195" s="58"/>
      <c r="AH195" s="43"/>
      <c r="AI195" s="45"/>
      <c r="AJ195" s="45"/>
      <c r="AK195" s="45"/>
      <c r="AL195" s="101">
        <f t="shared" si="23"/>
        <v>0</v>
      </c>
    </row>
    <row r="196" spans="1:38" s="8" customFormat="1" ht="42.75" customHeight="1" x14ac:dyDescent="0.2">
      <c r="A196" s="53" t="s">
        <v>163</v>
      </c>
      <c r="B196" s="306"/>
      <c r="C196" s="146"/>
      <c r="D196" s="43"/>
      <c r="E196" s="43"/>
      <c r="F196" s="213"/>
      <c r="G196" s="43"/>
      <c r="H196" s="45"/>
      <c r="I196" s="45"/>
      <c r="J196" s="45"/>
      <c r="K196" s="58"/>
      <c r="L196" s="43"/>
      <c r="M196" s="45"/>
      <c r="N196" s="45">
        <v>19490.73</v>
      </c>
      <c r="O196" s="46"/>
      <c r="P196" s="55"/>
      <c r="Q196" s="45"/>
      <c r="R196" s="55"/>
      <c r="S196" s="58">
        <v>19490.73</v>
      </c>
      <c r="T196" s="45"/>
      <c r="U196" s="43"/>
      <c r="V196" s="45"/>
      <c r="W196" s="45"/>
      <c r="X196" s="45"/>
      <c r="Y196" s="45"/>
      <c r="Z196" s="46"/>
      <c r="AA196" s="55"/>
      <c r="AB196" s="43"/>
      <c r="AC196" s="46"/>
      <c r="AD196" s="55"/>
      <c r="AE196" s="146"/>
      <c r="AF196" s="45"/>
      <c r="AG196" s="58"/>
      <c r="AH196" s="43"/>
      <c r="AI196" s="45"/>
      <c r="AJ196" s="45"/>
      <c r="AK196" s="45"/>
      <c r="AL196" s="101">
        <f t="shared" si="23"/>
        <v>0</v>
      </c>
    </row>
    <row r="197" spans="1:38" s="8" customFormat="1" ht="42.75" customHeight="1" x14ac:dyDescent="0.2">
      <c r="A197" s="53" t="s">
        <v>164</v>
      </c>
      <c r="B197" s="306"/>
      <c r="C197" s="146"/>
      <c r="D197" s="43"/>
      <c r="E197" s="43"/>
      <c r="F197" s="213"/>
      <c r="G197" s="43"/>
      <c r="H197" s="45"/>
      <c r="I197" s="45"/>
      <c r="J197" s="45"/>
      <c r="K197" s="58"/>
      <c r="L197" s="43"/>
      <c r="M197" s="45"/>
      <c r="N197" s="45">
        <v>3969.08</v>
      </c>
      <c r="O197" s="46"/>
      <c r="P197" s="55"/>
      <c r="Q197" s="45"/>
      <c r="R197" s="55"/>
      <c r="S197" s="58">
        <v>3969.08</v>
      </c>
      <c r="T197" s="45"/>
      <c r="U197" s="43"/>
      <c r="V197" s="45"/>
      <c r="W197" s="45"/>
      <c r="X197" s="45"/>
      <c r="Y197" s="45"/>
      <c r="Z197" s="46"/>
      <c r="AA197" s="55"/>
      <c r="AB197" s="43"/>
      <c r="AC197" s="46"/>
      <c r="AD197" s="55"/>
      <c r="AE197" s="146"/>
      <c r="AF197" s="45"/>
      <c r="AG197" s="58"/>
      <c r="AH197" s="43"/>
      <c r="AI197" s="45"/>
      <c r="AJ197" s="45"/>
      <c r="AK197" s="45"/>
      <c r="AL197" s="101">
        <f t="shared" si="23"/>
        <v>0</v>
      </c>
    </row>
    <row r="198" spans="1:38" s="8" customFormat="1" ht="42.75" customHeight="1" x14ac:dyDescent="0.2">
      <c r="A198" s="286" t="s">
        <v>239</v>
      </c>
      <c r="B198" s="305">
        <v>8991605008</v>
      </c>
      <c r="C198" s="146"/>
      <c r="D198" s="43"/>
      <c r="E198" s="43"/>
      <c r="F198" s="213"/>
      <c r="G198" s="43"/>
      <c r="H198" s="45"/>
      <c r="I198" s="45"/>
      <c r="J198" s="45">
        <v>600</v>
      </c>
      <c r="K198" s="58"/>
      <c r="L198" s="43"/>
      <c r="M198" s="45"/>
      <c r="N198" s="45">
        <f>1410</f>
        <v>1410</v>
      </c>
      <c r="O198" s="46"/>
      <c r="P198" s="55"/>
      <c r="Q198" s="45"/>
      <c r="R198" s="55">
        <v>174</v>
      </c>
      <c r="S198" s="58">
        <v>2183.8846899999999</v>
      </c>
      <c r="T198" s="45"/>
      <c r="U198" s="43"/>
      <c r="V198" s="45"/>
      <c r="W198" s="45"/>
      <c r="X198" s="45"/>
      <c r="Y198" s="45"/>
      <c r="Z198" s="46"/>
      <c r="AA198" s="55"/>
      <c r="AB198" s="43"/>
      <c r="AC198" s="46"/>
      <c r="AD198" s="55"/>
      <c r="AE198" s="146"/>
      <c r="AF198" s="45"/>
      <c r="AG198" s="58"/>
      <c r="AH198" s="43"/>
      <c r="AI198" s="45"/>
      <c r="AJ198" s="45"/>
      <c r="AK198" s="45"/>
      <c r="AL198" s="101">
        <v>0.11531000000013591</v>
      </c>
    </row>
    <row r="199" spans="1:38" s="8" customFormat="1" ht="42.75" customHeight="1" x14ac:dyDescent="0.2">
      <c r="A199" s="286" t="s">
        <v>238</v>
      </c>
      <c r="B199" s="305">
        <v>8991605008</v>
      </c>
      <c r="C199" s="146"/>
      <c r="D199" s="43"/>
      <c r="E199" s="43"/>
      <c r="F199" s="213"/>
      <c r="G199" s="43"/>
      <c r="H199" s="45"/>
      <c r="I199" s="45"/>
      <c r="J199" s="45">
        <v>600</v>
      </c>
      <c r="K199" s="58"/>
      <c r="L199" s="43"/>
      <c r="M199" s="45"/>
      <c r="N199" s="45">
        <f>1170</f>
        <v>1170</v>
      </c>
      <c r="O199" s="46"/>
      <c r="P199" s="55"/>
      <c r="Q199" s="45"/>
      <c r="R199" s="55">
        <v>138</v>
      </c>
      <c r="S199" s="58">
        <v>1907.4323199999999</v>
      </c>
      <c r="T199" s="45"/>
      <c r="U199" s="43"/>
      <c r="V199" s="45"/>
      <c r="W199" s="45"/>
      <c r="X199" s="45"/>
      <c r="Y199" s="45"/>
      <c r="Z199" s="46"/>
      <c r="AA199" s="55"/>
      <c r="AB199" s="43"/>
      <c r="AC199" s="46"/>
      <c r="AD199" s="55"/>
      <c r="AE199" s="146"/>
      <c r="AF199" s="45"/>
      <c r="AG199" s="58"/>
      <c r="AH199" s="43"/>
      <c r="AI199" s="45"/>
      <c r="AJ199" s="45"/>
      <c r="AK199" s="45"/>
      <c r="AL199" s="101">
        <v>0.56768000000010943</v>
      </c>
    </row>
    <row r="200" spans="1:38" s="8" customFormat="1" x14ac:dyDescent="0.2">
      <c r="A200" s="182" t="s">
        <v>138</v>
      </c>
      <c r="B200" s="289"/>
      <c r="C200" s="190">
        <f>SUM(C164:C199)</f>
        <v>0</v>
      </c>
      <c r="D200" s="183">
        <f t="shared" ref="D200:AK200" si="24">SUM(D164:D199)</f>
        <v>24350.584500000001</v>
      </c>
      <c r="E200" s="183">
        <f t="shared" si="24"/>
        <v>148609.02007999999</v>
      </c>
      <c r="F200" s="183">
        <f t="shared" si="24"/>
        <v>50290.154999999999</v>
      </c>
      <c r="G200" s="183">
        <f t="shared" si="24"/>
        <v>0</v>
      </c>
      <c r="H200" s="183">
        <f t="shared" si="24"/>
        <v>0</v>
      </c>
      <c r="I200" s="183">
        <f t="shared" si="24"/>
        <v>0</v>
      </c>
      <c r="J200" s="183">
        <f t="shared" si="24"/>
        <v>98202.03</v>
      </c>
      <c r="K200" s="183">
        <f t="shared" si="24"/>
        <v>157010.61000000002</v>
      </c>
      <c r="L200" s="183">
        <f t="shared" si="24"/>
        <v>0</v>
      </c>
      <c r="M200" s="183">
        <f t="shared" si="24"/>
        <v>40219</v>
      </c>
      <c r="N200" s="183">
        <f>SUM(N164:N199)</f>
        <v>28346.89</v>
      </c>
      <c r="O200" s="183">
        <f t="shared" si="24"/>
        <v>62662.61</v>
      </c>
      <c r="P200" s="183">
        <f t="shared" si="24"/>
        <v>0</v>
      </c>
      <c r="Q200" s="183">
        <f t="shared" si="24"/>
        <v>0</v>
      </c>
      <c r="R200" s="183">
        <f t="shared" si="24"/>
        <v>312</v>
      </c>
      <c r="S200" s="183">
        <f t="shared" si="24"/>
        <v>29858.207009999998</v>
      </c>
      <c r="T200" s="183">
        <f t="shared" si="24"/>
        <v>0</v>
      </c>
      <c r="U200" s="183">
        <f t="shared" si="24"/>
        <v>0</v>
      </c>
      <c r="V200" s="183">
        <f t="shared" si="24"/>
        <v>0</v>
      </c>
      <c r="W200" s="183">
        <f t="shared" si="24"/>
        <v>0</v>
      </c>
      <c r="X200" s="183">
        <f t="shared" si="24"/>
        <v>0</v>
      </c>
      <c r="Y200" s="183">
        <f t="shared" si="24"/>
        <v>0</v>
      </c>
      <c r="Z200" s="183">
        <f t="shared" si="24"/>
        <v>0</v>
      </c>
      <c r="AA200" s="183">
        <f t="shared" si="24"/>
        <v>0</v>
      </c>
      <c r="AB200" s="183">
        <f t="shared" si="24"/>
        <v>0</v>
      </c>
      <c r="AC200" s="183">
        <f t="shared" si="24"/>
        <v>0</v>
      </c>
      <c r="AD200" s="183">
        <f t="shared" si="24"/>
        <v>0</v>
      </c>
      <c r="AE200" s="183">
        <f t="shared" si="24"/>
        <v>0</v>
      </c>
      <c r="AF200" s="183">
        <f t="shared" si="24"/>
        <v>0</v>
      </c>
      <c r="AG200" s="187">
        <f t="shared" si="24"/>
        <v>0</v>
      </c>
      <c r="AH200" s="329">
        <f>SUM(AH164:AH199)</f>
        <v>0</v>
      </c>
      <c r="AI200" s="329">
        <f>SUM(AI164:AI199)</f>
        <v>0</v>
      </c>
      <c r="AJ200" s="329">
        <f t="shared" si="24"/>
        <v>0</v>
      </c>
      <c r="AK200" s="330">
        <f t="shared" si="24"/>
        <v>0</v>
      </c>
      <c r="AL200" s="101">
        <f>D200+E200+J200+N200+R200+W200-F200-K200-O200-S200-Y200</f>
        <v>-1.0574300000444055</v>
      </c>
    </row>
    <row r="201" spans="1:38" s="8" customFormat="1" x14ac:dyDescent="0.2">
      <c r="A201" s="2"/>
      <c r="B201" s="309"/>
      <c r="C201" s="29"/>
      <c r="D201" s="29"/>
      <c r="E201" s="29"/>
      <c r="F201" s="29">
        <f>D200+E200-F200</f>
        <v>122669.44957999999</v>
      </c>
      <c r="G201" s="153"/>
      <c r="H201" s="144"/>
      <c r="I201" s="144"/>
      <c r="J201" s="144"/>
      <c r="K201" s="220">
        <f>F201+J200-K200</f>
        <v>63860.86957999997</v>
      </c>
      <c r="L201" s="153"/>
      <c r="M201" s="144"/>
      <c r="N201" s="144"/>
      <c r="O201" s="154">
        <f>K201+N200-O200</f>
        <v>29545.149579999968</v>
      </c>
      <c r="P201" s="3"/>
      <c r="Q201" s="144"/>
      <c r="R201" s="3"/>
      <c r="S201" s="3">
        <f>O201+R200-S200</f>
        <v>-1.0574300000298535</v>
      </c>
      <c r="T201" s="144"/>
      <c r="U201" s="153"/>
      <c r="V201" s="144"/>
      <c r="W201" s="144"/>
      <c r="X201" s="144"/>
      <c r="Y201" s="144"/>
      <c r="Z201" s="154"/>
      <c r="AA201" s="3"/>
      <c r="AB201" s="153"/>
      <c r="AC201" s="154"/>
      <c r="AD201" s="3"/>
      <c r="AE201" s="164"/>
      <c r="AF201" s="144"/>
      <c r="AG201" s="220"/>
      <c r="AH201" s="328"/>
      <c r="AI201" s="144"/>
      <c r="AJ201" s="144"/>
      <c r="AK201" s="144"/>
      <c r="AL201" s="101">
        <f>D201+E201+J201+N201+R201+W201-F201-K201-O201-S201-Y201</f>
        <v>-216074.41130999988</v>
      </c>
    </row>
    <row r="202" spans="1:38" s="8" customFormat="1" ht="13.5" thickBot="1" x14ac:dyDescent="0.25">
      <c r="A202" s="13" t="s">
        <v>6</v>
      </c>
      <c r="B202" s="310"/>
      <c r="C202" s="48">
        <v>0</v>
      </c>
      <c r="D202" s="317">
        <v>484254.09123000002</v>
      </c>
      <c r="E202" s="317">
        <f>SUM(E200,E161,E47,E159,E156,E138,E84,E66,E42)</f>
        <v>460897.52007999999</v>
      </c>
      <c r="F202" s="317">
        <f>SUM(F200,F161,F47,F159,F156,F138,F84,F66,F42)</f>
        <v>382266.45500000002</v>
      </c>
      <c r="G202" s="318">
        <f t="shared" ref="G202:AK202" si="25">SUM(G200,G161,G47,G159,G156,G138,G84,G66,G42,G5)</f>
        <v>169407.29</v>
      </c>
      <c r="H202" s="318">
        <f t="shared" si="25"/>
        <v>1028.5999999999999</v>
      </c>
      <c r="I202" s="318">
        <f t="shared" si="25"/>
        <v>559738.06000000006</v>
      </c>
      <c r="J202" s="318">
        <f t="shared" si="25"/>
        <v>484177.5</v>
      </c>
      <c r="K202" s="318">
        <f t="shared" si="25"/>
        <v>633209.25</v>
      </c>
      <c r="L202" s="318">
        <f t="shared" si="25"/>
        <v>26506</v>
      </c>
      <c r="M202" s="318">
        <f t="shared" si="25"/>
        <v>1252708</v>
      </c>
      <c r="N202" s="318">
        <f t="shared" si="25"/>
        <v>900691.89</v>
      </c>
      <c r="O202" s="318">
        <f t="shared" si="25"/>
        <v>520939.61</v>
      </c>
      <c r="P202" s="318">
        <f t="shared" si="25"/>
        <v>126704</v>
      </c>
      <c r="Q202" s="318">
        <f t="shared" si="25"/>
        <v>1052686</v>
      </c>
      <c r="R202" s="318">
        <f t="shared" si="25"/>
        <v>1291489</v>
      </c>
      <c r="S202" s="318">
        <f t="shared" si="25"/>
        <v>1236248.20701</v>
      </c>
      <c r="T202" s="318">
        <f t="shared" si="25"/>
        <v>42000</v>
      </c>
      <c r="U202" s="318">
        <f t="shared" si="25"/>
        <v>105927</v>
      </c>
      <c r="V202" s="318">
        <f t="shared" si="25"/>
        <v>147312</v>
      </c>
      <c r="W202" s="318">
        <f t="shared" si="25"/>
        <v>0</v>
      </c>
      <c r="X202" s="318">
        <f t="shared" si="25"/>
        <v>1598215</v>
      </c>
      <c r="Y202" s="318">
        <f t="shared" si="25"/>
        <v>842100</v>
      </c>
      <c r="Z202" s="318">
        <f t="shared" si="25"/>
        <v>241150</v>
      </c>
      <c r="AA202" s="318">
        <f t="shared" si="25"/>
        <v>148617</v>
      </c>
      <c r="AB202" s="318">
        <f t="shared" si="25"/>
        <v>1744505</v>
      </c>
      <c r="AC202" s="318">
        <f t="shared" si="25"/>
        <v>1846965</v>
      </c>
      <c r="AD202" s="318">
        <f t="shared" si="25"/>
        <v>70169</v>
      </c>
      <c r="AE202" s="318">
        <f t="shared" si="25"/>
        <v>0</v>
      </c>
      <c r="AF202" s="318">
        <f t="shared" si="25"/>
        <v>1164852</v>
      </c>
      <c r="AG202" s="318">
        <f t="shared" si="25"/>
        <v>1517580</v>
      </c>
      <c r="AH202" s="318">
        <f t="shared" si="25"/>
        <v>300</v>
      </c>
      <c r="AI202" s="318">
        <f t="shared" si="25"/>
        <v>0</v>
      </c>
      <c r="AJ202" s="318">
        <f t="shared" si="25"/>
        <v>0</v>
      </c>
      <c r="AK202" s="318">
        <f t="shared" si="25"/>
        <v>1011250</v>
      </c>
      <c r="AL202" s="101">
        <f>D202+E202+J202+N202+R202+W202-F202-K202-O202-S202-Y202</f>
        <v>6746.4793000002392</v>
      </c>
    </row>
    <row r="203" spans="1:38" x14ac:dyDescent="0.2">
      <c r="AB203" s="10"/>
      <c r="AC203" s="10"/>
      <c r="AE203" s="155"/>
      <c r="AF203" s="10"/>
      <c r="AG203" s="320"/>
      <c r="AH203" s="331"/>
      <c r="AI203" s="10"/>
      <c r="AJ203" s="10"/>
      <c r="AK203" s="10"/>
      <c r="AL203" s="101">
        <f>D203+E203+J203+N203+R203+W203-F203-K203-O203-S203-Y203</f>
        <v>0</v>
      </c>
    </row>
    <row r="204" spans="1:38" s="8" customFormat="1" x14ac:dyDescent="0.2">
      <c r="A204" s="4"/>
      <c r="B204" s="311"/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136"/>
      <c r="X204" s="136"/>
      <c r="Y204" s="136"/>
      <c r="Z204" s="136"/>
      <c r="AA204" s="136"/>
      <c r="AB204" s="136"/>
      <c r="AC204" s="136"/>
      <c r="AD204" s="136"/>
      <c r="AE204" s="136"/>
      <c r="AF204" s="136"/>
      <c r="AG204" s="136"/>
      <c r="AH204" s="136"/>
      <c r="AI204" s="136"/>
      <c r="AJ204" s="136"/>
      <c r="AK204" s="136"/>
      <c r="AL204" s="101"/>
    </row>
    <row r="205" spans="1:38" s="14" customFormat="1" ht="13.5" thickBot="1" x14ac:dyDescent="0.25">
      <c r="A205" s="4"/>
      <c r="B205" s="311"/>
      <c r="C205" s="174">
        <v>2019</v>
      </c>
      <c r="D205" s="174">
        <v>2020</v>
      </c>
      <c r="E205" s="174">
        <v>2021</v>
      </c>
      <c r="F205" s="174">
        <v>2022</v>
      </c>
      <c r="G205" s="174">
        <v>2023</v>
      </c>
      <c r="H205" s="174">
        <v>2024</v>
      </c>
      <c r="I205" s="174">
        <v>2025</v>
      </c>
      <c r="J205" s="174">
        <v>2026</v>
      </c>
      <c r="K205" s="174">
        <v>2027</v>
      </c>
      <c r="L205" s="174" t="s">
        <v>146</v>
      </c>
    </row>
    <row r="206" spans="1:38" s="14" customFormat="1" ht="13.5" thickBot="1" x14ac:dyDescent="0.25">
      <c r="A206" s="177" t="s">
        <v>33</v>
      </c>
      <c r="B206" s="312"/>
      <c r="C206" s="114"/>
      <c r="D206" s="114">
        <v>101402.09368999999</v>
      </c>
      <c r="E206" s="114">
        <f>G202</f>
        <v>169407.29</v>
      </c>
      <c r="F206" s="114">
        <f>L202</f>
        <v>26506</v>
      </c>
      <c r="G206" s="114">
        <f>P202</f>
        <v>126704</v>
      </c>
      <c r="H206" s="114">
        <f>U202</f>
        <v>105927</v>
      </c>
      <c r="I206" s="114">
        <f>AA202</f>
        <v>148617</v>
      </c>
      <c r="J206" s="114">
        <f>AD202</f>
        <v>70169</v>
      </c>
      <c r="K206" s="114">
        <f>AH202</f>
        <v>300</v>
      </c>
      <c r="L206" s="225">
        <f>SUM(C206:K206)</f>
        <v>749032.38369000005</v>
      </c>
    </row>
    <row r="207" spans="1:38" s="14" customFormat="1" x14ac:dyDescent="0.2">
      <c r="A207" s="224"/>
      <c r="B207" s="311"/>
    </row>
    <row r="208" spans="1:38" s="14" customFormat="1" ht="13.5" thickBot="1" x14ac:dyDescent="0.25">
      <c r="A208" s="224"/>
      <c r="B208" s="311"/>
      <c r="C208" s="174">
        <v>2019</v>
      </c>
      <c r="D208" s="174">
        <v>2020</v>
      </c>
      <c r="E208" s="174">
        <v>2021</v>
      </c>
      <c r="F208" s="255">
        <v>2022</v>
      </c>
      <c r="G208" s="255">
        <v>2023</v>
      </c>
      <c r="H208" s="255">
        <v>2024</v>
      </c>
      <c r="I208" s="255">
        <v>2025</v>
      </c>
      <c r="J208" s="256"/>
    </row>
    <row r="209" spans="1:15" s="14" customFormat="1" ht="16.5" customHeight="1" thickBot="1" x14ac:dyDescent="0.25">
      <c r="A209" s="177" t="s">
        <v>152</v>
      </c>
      <c r="B209" s="312"/>
      <c r="C209" s="114"/>
      <c r="D209" s="114"/>
      <c r="E209" s="114">
        <f>I202</f>
        <v>559738.06000000006</v>
      </c>
      <c r="F209" s="257">
        <f>M202</f>
        <v>1252708</v>
      </c>
      <c r="G209" s="257">
        <f>Q202</f>
        <v>1052686</v>
      </c>
      <c r="H209" s="257">
        <f>V202</f>
        <v>147312</v>
      </c>
      <c r="I209" s="258">
        <f t="shared" ref="I209:I213" si="26">SUM(C209:H209)</f>
        <v>3012444.06</v>
      </c>
      <c r="J209" s="259">
        <f>I209-3000000</f>
        <v>12444.060000000056</v>
      </c>
    </row>
    <row r="210" spans="1:15" s="14" customFormat="1" x14ac:dyDescent="0.2">
      <c r="A210" s="4"/>
      <c r="B210" s="311"/>
      <c r="C210" s="174"/>
      <c r="D210" s="174"/>
      <c r="E210" s="174"/>
      <c r="F210" s="260">
        <f>E209+F209</f>
        <v>1812446.06</v>
      </c>
      <c r="G210" s="260">
        <f>F210+G209</f>
        <v>2865132.06</v>
      </c>
      <c r="H210" s="260">
        <f>G210+H209</f>
        <v>3012444.06</v>
      </c>
      <c r="I210" s="260"/>
      <c r="J210" s="256"/>
    </row>
    <row r="211" spans="1:15" s="14" customFormat="1" x14ac:dyDescent="0.2">
      <c r="A211" s="4"/>
      <c r="B211" s="311"/>
      <c r="C211" s="174"/>
      <c r="D211" s="174"/>
      <c r="E211" s="174"/>
      <c r="F211" s="185"/>
      <c r="G211" s="185"/>
      <c r="H211" s="185"/>
      <c r="I211" s="185"/>
    </row>
    <row r="212" spans="1:15" s="14" customFormat="1" ht="13.5" thickBot="1" x14ac:dyDescent="0.25">
      <c r="A212" s="175" t="s">
        <v>221</v>
      </c>
      <c r="B212" s="313"/>
      <c r="C212" s="174">
        <v>2019</v>
      </c>
      <c r="D212" s="174">
        <v>2020</v>
      </c>
      <c r="E212" s="254">
        <v>2021</v>
      </c>
      <c r="F212" s="254">
        <v>2022</v>
      </c>
      <c r="G212" s="254">
        <v>2023</v>
      </c>
      <c r="H212" s="254">
        <v>2024</v>
      </c>
      <c r="I212" s="254" t="s">
        <v>146</v>
      </c>
    </row>
    <row r="213" spans="1:15" s="14" customFormat="1" x14ac:dyDescent="0.2">
      <c r="A213" s="78" t="s">
        <v>145</v>
      </c>
      <c r="B213" s="314"/>
      <c r="C213" s="79">
        <f>D202</f>
        <v>484254.09123000002</v>
      </c>
      <c r="D213" s="79">
        <f>E202</f>
        <v>460897.52007999999</v>
      </c>
      <c r="E213" s="261">
        <f>H202+J202</f>
        <v>485206.1</v>
      </c>
      <c r="F213" s="261">
        <f>N202</f>
        <v>900691.89</v>
      </c>
      <c r="G213" s="261">
        <f>R202</f>
        <v>1291489</v>
      </c>
      <c r="H213" s="261">
        <f>W202</f>
        <v>0</v>
      </c>
      <c r="I213" s="262">
        <f t="shared" si="26"/>
        <v>3622538.6013100003</v>
      </c>
    </row>
    <row r="214" spans="1:15" s="14" customFormat="1" x14ac:dyDescent="0.2">
      <c r="A214" s="81" t="s">
        <v>292</v>
      </c>
      <c r="B214" s="315"/>
      <c r="C214" s="10"/>
      <c r="D214" s="10">
        <f>F202</f>
        <v>382266.45500000002</v>
      </c>
      <c r="E214" s="263">
        <f>K202</f>
        <v>633209.25</v>
      </c>
      <c r="F214" s="263">
        <f>O202</f>
        <v>520939.61</v>
      </c>
      <c r="G214" s="263">
        <f>S202</f>
        <v>1236248.20701</v>
      </c>
      <c r="H214" s="263">
        <f>Y202</f>
        <v>842100</v>
      </c>
      <c r="I214" s="264">
        <f>SUM(C214:H214)</f>
        <v>3614763.52201</v>
      </c>
      <c r="J214" s="252"/>
      <c r="K214" s="253"/>
    </row>
    <row r="215" spans="1:15" s="14" customFormat="1" ht="13.5" thickBot="1" x14ac:dyDescent="0.25">
      <c r="A215" s="118" t="s">
        <v>150</v>
      </c>
      <c r="B215" s="316"/>
      <c r="C215" s="84"/>
      <c r="D215" s="85">
        <f>C213+D213-D214</f>
        <v>562885.15630999999</v>
      </c>
      <c r="E215" s="265">
        <f>D215+E213-E214</f>
        <v>414882.00630999997</v>
      </c>
      <c r="F215" s="265">
        <f>E215+F213-F214</f>
        <v>794634.28631</v>
      </c>
      <c r="G215" s="265">
        <f t="shared" ref="G215:H215" si="27">F215+G213-G214</f>
        <v>849875.07929999987</v>
      </c>
      <c r="H215" s="266">
        <f t="shared" si="27"/>
        <v>7775.0792999998666</v>
      </c>
      <c r="I215" s="267"/>
    </row>
    <row r="216" spans="1:15" x14ac:dyDescent="0.2">
      <c r="O216" s="14">
        <v>0</v>
      </c>
    </row>
    <row r="217" spans="1:15" ht="13.5" thickBot="1" x14ac:dyDescent="0.25">
      <c r="A217" s="176" t="s">
        <v>203</v>
      </c>
      <c r="B217" s="313"/>
      <c r="C217" s="174">
        <v>2019</v>
      </c>
      <c r="D217" s="174">
        <v>2020</v>
      </c>
      <c r="E217" s="174">
        <v>2021</v>
      </c>
      <c r="F217" s="174">
        <v>2022</v>
      </c>
      <c r="G217" s="174">
        <v>2023</v>
      </c>
      <c r="H217" s="174">
        <v>2024</v>
      </c>
      <c r="I217" s="174">
        <v>2025</v>
      </c>
      <c r="J217" s="174">
        <v>2026</v>
      </c>
      <c r="K217" s="174">
        <v>2027</v>
      </c>
    </row>
    <row r="218" spans="1:15" x14ac:dyDescent="0.2">
      <c r="A218" s="78" t="s">
        <v>215</v>
      </c>
      <c r="B218" s="314"/>
      <c r="C218" s="79"/>
      <c r="D218" s="79">
        <v>0</v>
      </c>
      <c r="E218" s="79">
        <v>0</v>
      </c>
      <c r="F218" s="79">
        <v>0</v>
      </c>
      <c r="G218" s="79">
        <f>T202</f>
        <v>42000</v>
      </c>
      <c r="H218" s="79">
        <f>X202</f>
        <v>1598215</v>
      </c>
      <c r="I218" s="79">
        <f>AB202</f>
        <v>1744505</v>
      </c>
      <c r="J218" s="79">
        <f>AF202</f>
        <v>1164852</v>
      </c>
      <c r="K218" s="79">
        <f>Z206</f>
        <v>0</v>
      </c>
    </row>
    <row r="219" spans="1:15" x14ac:dyDescent="0.2">
      <c r="A219" s="81" t="s">
        <v>216</v>
      </c>
      <c r="B219" s="315"/>
      <c r="C219" s="10"/>
      <c r="D219" s="10">
        <v>0</v>
      </c>
      <c r="E219" s="10">
        <v>0</v>
      </c>
      <c r="F219" s="10">
        <v>0</v>
      </c>
      <c r="G219" s="10">
        <v>0</v>
      </c>
      <c r="H219" s="10">
        <f>Z202</f>
        <v>241150</v>
      </c>
      <c r="I219" s="10">
        <f>AC202</f>
        <v>1846965</v>
      </c>
      <c r="J219" s="10">
        <f>AG202</f>
        <v>1517580</v>
      </c>
      <c r="K219" s="10">
        <f>AK202</f>
        <v>1011250</v>
      </c>
    </row>
    <row r="220" spans="1:15" ht="13.5" thickBot="1" x14ac:dyDescent="0.25">
      <c r="A220" s="118" t="s">
        <v>217</v>
      </c>
      <c r="B220" s="316"/>
      <c r="C220" s="84"/>
      <c r="D220" s="85">
        <f>C218+D218-D219</f>
        <v>0</v>
      </c>
      <c r="E220" s="85">
        <f>D220+E218-E219</f>
        <v>0</v>
      </c>
      <c r="F220" s="85">
        <f>E220+F218-F219</f>
        <v>0</v>
      </c>
      <c r="G220" s="85">
        <f t="shared" ref="G220:K220" si="28">F220+G218-G219</f>
        <v>42000</v>
      </c>
      <c r="H220" s="85">
        <f t="shared" si="28"/>
        <v>1399065</v>
      </c>
      <c r="I220" s="85">
        <f t="shared" si="28"/>
        <v>1296605</v>
      </c>
      <c r="J220" s="85">
        <f t="shared" si="28"/>
        <v>943877</v>
      </c>
      <c r="K220" s="85">
        <f t="shared" si="28"/>
        <v>-67373</v>
      </c>
    </row>
  </sheetData>
  <autoFilter ref="A2:AL203" xr:uid="{FFCDDF9D-D08D-47CB-8325-84D129E85ACB}"/>
  <mergeCells count="9">
    <mergeCell ref="AH1:AK1"/>
    <mergeCell ref="AD1:AG1"/>
    <mergeCell ref="A1:A2"/>
    <mergeCell ref="G1:K1"/>
    <mergeCell ref="L1:O1"/>
    <mergeCell ref="P1:S1"/>
    <mergeCell ref="U1:Z1"/>
    <mergeCell ref="AA1:AC1"/>
    <mergeCell ref="B1:B2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B31AE-2E36-4E2C-8931-ECFCD32369AE}">
  <sheetPr>
    <tabColor rgb="FF92D050"/>
    <pageSetUpPr fitToPage="1"/>
  </sheetPr>
  <dimension ref="A1:X116"/>
  <sheetViews>
    <sheetView tabSelected="1" workbookViewId="0">
      <selection activeCell="R4" sqref="R4"/>
    </sheetView>
  </sheetViews>
  <sheetFormatPr defaultColWidth="9.140625" defaultRowHeight="12.75" x14ac:dyDescent="0.2"/>
  <cols>
    <col min="1" max="1" width="123.5703125" style="4" customWidth="1"/>
    <col min="2" max="2" width="11" style="311" hidden="1" customWidth="1"/>
    <col min="3" max="3" width="10.7109375" style="332" hidden="1" customWidth="1"/>
    <col min="4" max="4" width="13.140625" style="333" hidden="1" customWidth="1"/>
    <col min="5" max="5" width="12.7109375" style="333" hidden="1" customWidth="1"/>
    <col min="6" max="6" width="15" style="333" customWidth="1"/>
    <col min="7" max="8" width="15" style="333" hidden="1" customWidth="1"/>
    <col min="9" max="9" width="15" style="333" customWidth="1"/>
    <col min="10" max="11" width="15" style="333" hidden="1" customWidth="1"/>
    <col min="12" max="12" width="15" style="333" customWidth="1"/>
    <col min="13" max="14" width="15" style="333" hidden="1" customWidth="1"/>
    <col min="15" max="15" width="15" style="333" customWidth="1"/>
    <col min="16" max="17" width="15" style="333" hidden="1" customWidth="1"/>
    <col min="18" max="18" width="15" style="333" customWidth="1"/>
    <col min="19" max="20" width="15" style="333" hidden="1" customWidth="1"/>
    <col min="21" max="21" width="15" style="333" customWidth="1"/>
    <col min="22" max="23" width="12.7109375" style="333" hidden="1" customWidth="1"/>
    <col min="24" max="24" width="15" style="333" customWidth="1"/>
    <col min="25" max="16384" width="9.140625" style="4"/>
  </cols>
  <sheetData>
    <row r="1" spans="1:24" ht="27" customHeight="1" x14ac:dyDescent="0.2">
      <c r="A1" s="392" t="s">
        <v>419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3"/>
      <c r="X1" s="4"/>
    </row>
    <row r="2" spans="1:24" ht="31.5" hidden="1" customHeight="1" x14ac:dyDescent="0.2">
      <c r="A2" s="355"/>
      <c r="B2" s="355"/>
      <c r="C2" s="356"/>
      <c r="D2" s="351" t="s">
        <v>214</v>
      </c>
      <c r="E2" s="357" t="s">
        <v>213</v>
      </c>
      <c r="F2" s="357"/>
      <c r="G2" s="351" t="s">
        <v>214</v>
      </c>
      <c r="H2" s="357" t="s">
        <v>213</v>
      </c>
      <c r="I2" s="357"/>
      <c r="J2" s="351" t="s">
        <v>214</v>
      </c>
      <c r="K2" s="357" t="s">
        <v>213</v>
      </c>
      <c r="L2" s="357"/>
      <c r="M2" s="351" t="s">
        <v>214</v>
      </c>
      <c r="N2" s="357" t="s">
        <v>213</v>
      </c>
      <c r="O2" s="357"/>
      <c r="P2" s="351" t="s">
        <v>214</v>
      </c>
      <c r="Q2" s="357" t="s">
        <v>213</v>
      </c>
      <c r="R2" s="357"/>
      <c r="S2" s="351" t="s">
        <v>214</v>
      </c>
      <c r="T2" s="357" t="s">
        <v>213</v>
      </c>
      <c r="U2" s="357"/>
      <c r="V2" s="351" t="s">
        <v>214</v>
      </c>
      <c r="W2" s="357" t="s">
        <v>213</v>
      </c>
      <c r="X2" s="357"/>
    </row>
    <row r="3" spans="1:24" ht="43.5" customHeight="1" x14ac:dyDescent="0.2">
      <c r="A3" s="358" t="s">
        <v>0</v>
      </c>
      <c r="B3" s="359" t="s">
        <v>307</v>
      </c>
      <c r="C3" s="360" t="s">
        <v>366</v>
      </c>
      <c r="D3" s="354" t="s">
        <v>417</v>
      </c>
      <c r="E3" s="354" t="s">
        <v>418</v>
      </c>
      <c r="F3" s="354" t="s">
        <v>398</v>
      </c>
      <c r="G3" s="354" t="s">
        <v>405</v>
      </c>
      <c r="H3" s="354" t="s">
        <v>406</v>
      </c>
      <c r="I3" s="354" t="s">
        <v>399</v>
      </c>
      <c r="J3" s="354" t="s">
        <v>407</v>
      </c>
      <c r="K3" s="354" t="s">
        <v>408</v>
      </c>
      <c r="L3" s="354" t="s">
        <v>400</v>
      </c>
      <c r="M3" s="354" t="s">
        <v>409</v>
      </c>
      <c r="N3" s="354" t="s">
        <v>410</v>
      </c>
      <c r="O3" s="354" t="s">
        <v>401</v>
      </c>
      <c r="P3" s="354" t="s">
        <v>411</v>
      </c>
      <c r="Q3" s="354" t="s">
        <v>412</v>
      </c>
      <c r="R3" s="354" t="s">
        <v>402</v>
      </c>
      <c r="S3" s="354" t="s">
        <v>413</v>
      </c>
      <c r="T3" s="354" t="s">
        <v>414</v>
      </c>
      <c r="U3" s="354" t="s">
        <v>403</v>
      </c>
      <c r="V3" s="354" t="s">
        <v>415</v>
      </c>
      <c r="W3" s="354" t="s">
        <v>416</v>
      </c>
      <c r="X3" s="354" t="s">
        <v>404</v>
      </c>
    </row>
    <row r="4" spans="1:24" s="37" customFormat="1" x14ac:dyDescent="0.2">
      <c r="A4" s="340" t="s">
        <v>350</v>
      </c>
      <c r="B4" s="288" t="s">
        <v>363</v>
      </c>
      <c r="C4" s="361" t="s">
        <v>366</v>
      </c>
      <c r="D4" s="45">
        <v>11500</v>
      </c>
      <c r="E4" s="45"/>
      <c r="F4" s="45">
        <f>D4-E4</f>
        <v>11500</v>
      </c>
      <c r="G4" s="45">
        <v>59000</v>
      </c>
      <c r="H4" s="45">
        <v>18669</v>
      </c>
      <c r="I4" s="45">
        <f>F4+G4-H4</f>
        <v>51831</v>
      </c>
      <c r="J4" s="45">
        <v>254500</v>
      </c>
      <c r="K4" s="45">
        <v>126750</v>
      </c>
      <c r="L4" s="45">
        <f>I4+J4-K4</f>
        <v>179581</v>
      </c>
      <c r="M4" s="45">
        <v>100000</v>
      </c>
      <c r="N4" s="45">
        <v>279581</v>
      </c>
      <c r="O4" s="45">
        <f>L4+M4-N4</f>
        <v>0</v>
      </c>
      <c r="P4" s="45"/>
      <c r="Q4" s="45"/>
      <c r="R4" s="45">
        <f>O4+P4-Q4</f>
        <v>0</v>
      </c>
      <c r="S4" s="45"/>
      <c r="T4" s="45"/>
      <c r="U4" s="45">
        <f>R4+S4-T4</f>
        <v>0</v>
      </c>
      <c r="V4" s="45"/>
      <c r="W4" s="45"/>
      <c r="X4" s="45">
        <f>U4+V4-W4</f>
        <v>0</v>
      </c>
    </row>
    <row r="5" spans="1:24" s="8" customFormat="1" x14ac:dyDescent="0.2">
      <c r="A5" s="341" t="s">
        <v>397</v>
      </c>
      <c r="B5" s="352" t="s">
        <v>311</v>
      </c>
      <c r="C5" s="353" t="s">
        <v>311</v>
      </c>
      <c r="D5" s="342">
        <f t="shared" ref="D5:W5" si="0">SUBTOTAL(9,D4:D4)</f>
        <v>11500</v>
      </c>
      <c r="E5" s="342">
        <f t="shared" si="0"/>
        <v>0</v>
      </c>
      <c r="F5" s="365">
        <f>D5-E5</f>
        <v>11500</v>
      </c>
      <c r="G5" s="342">
        <f t="shared" si="0"/>
        <v>59000</v>
      </c>
      <c r="H5" s="342">
        <f t="shared" si="0"/>
        <v>18669</v>
      </c>
      <c r="I5" s="365">
        <f t="shared" ref="I5:I68" si="1">F5+G5-H5</f>
        <v>51831</v>
      </c>
      <c r="J5" s="342">
        <f t="shared" si="0"/>
        <v>254500</v>
      </c>
      <c r="K5" s="342">
        <f t="shared" si="0"/>
        <v>126750</v>
      </c>
      <c r="L5" s="365">
        <f t="shared" ref="L5:L68" si="2">I5+J5-K5</f>
        <v>179581</v>
      </c>
      <c r="M5" s="342">
        <f t="shared" si="0"/>
        <v>100000</v>
      </c>
      <c r="N5" s="342">
        <f t="shared" si="0"/>
        <v>279581</v>
      </c>
      <c r="O5" s="365">
        <f t="shared" ref="O5:O68" si="3">L5+M5-N5</f>
        <v>0</v>
      </c>
      <c r="P5" s="342">
        <f t="shared" si="0"/>
        <v>0</v>
      </c>
      <c r="Q5" s="342">
        <f t="shared" si="0"/>
        <v>0</v>
      </c>
      <c r="R5" s="365">
        <f t="shared" ref="R5:R68" si="4">O5+P5-Q5</f>
        <v>0</v>
      </c>
      <c r="S5" s="342">
        <f t="shared" si="0"/>
        <v>0</v>
      </c>
      <c r="T5" s="342">
        <f t="shared" si="0"/>
        <v>0</v>
      </c>
      <c r="U5" s="365">
        <f t="shared" ref="U5:U68" si="5">R5+S5-T5</f>
        <v>0</v>
      </c>
      <c r="V5" s="342">
        <f t="shared" si="0"/>
        <v>0</v>
      </c>
      <c r="W5" s="342">
        <f t="shared" si="0"/>
        <v>0</v>
      </c>
      <c r="X5" s="365">
        <f t="shared" ref="X5:X68" si="6">U5+V5-W5</f>
        <v>0</v>
      </c>
    </row>
    <row r="6" spans="1:24" s="37" customFormat="1" x14ac:dyDescent="0.2">
      <c r="A6" s="340" t="s">
        <v>209</v>
      </c>
      <c r="B6" s="288" t="s">
        <v>312</v>
      </c>
      <c r="C6" s="361" t="s">
        <v>366</v>
      </c>
      <c r="D6" s="45"/>
      <c r="E6" s="45"/>
      <c r="F6" s="45">
        <f t="shared" ref="F6:F68" si="7">D6-E6</f>
        <v>0</v>
      </c>
      <c r="G6" s="45">
        <v>150000</v>
      </c>
      <c r="H6" s="45">
        <v>55000</v>
      </c>
      <c r="I6" s="45">
        <f t="shared" si="1"/>
        <v>95000</v>
      </c>
      <c r="J6" s="45">
        <v>115000</v>
      </c>
      <c r="K6" s="45">
        <v>100000</v>
      </c>
      <c r="L6" s="45">
        <f t="shared" si="2"/>
        <v>110000</v>
      </c>
      <c r="M6" s="45"/>
      <c r="N6" s="45">
        <v>110000</v>
      </c>
      <c r="O6" s="45">
        <f t="shared" si="3"/>
        <v>0</v>
      </c>
      <c r="P6" s="45"/>
      <c r="Q6" s="45"/>
      <c r="R6" s="45">
        <f t="shared" si="4"/>
        <v>0</v>
      </c>
      <c r="S6" s="45"/>
      <c r="T6" s="45"/>
      <c r="U6" s="45">
        <f t="shared" si="5"/>
        <v>0</v>
      </c>
      <c r="V6" s="45"/>
      <c r="W6" s="45"/>
      <c r="X6" s="45">
        <f t="shared" si="6"/>
        <v>0</v>
      </c>
    </row>
    <row r="7" spans="1:24" s="37" customFormat="1" x14ac:dyDescent="0.2">
      <c r="A7" s="340" t="s">
        <v>337</v>
      </c>
      <c r="B7" s="288" t="s">
        <v>351</v>
      </c>
      <c r="C7" s="361" t="s">
        <v>366</v>
      </c>
      <c r="D7" s="45">
        <v>9000</v>
      </c>
      <c r="E7" s="45"/>
      <c r="F7" s="45">
        <f t="shared" si="7"/>
        <v>9000</v>
      </c>
      <c r="G7" s="45"/>
      <c r="H7" s="45">
        <v>9000</v>
      </c>
      <c r="I7" s="45">
        <f t="shared" si="1"/>
        <v>0</v>
      </c>
      <c r="J7" s="45"/>
      <c r="K7" s="45"/>
      <c r="L7" s="45">
        <f t="shared" si="2"/>
        <v>0</v>
      </c>
      <c r="M7" s="45"/>
      <c r="N7" s="45"/>
      <c r="O7" s="45">
        <f t="shared" si="3"/>
        <v>0</v>
      </c>
      <c r="P7" s="45"/>
      <c r="Q7" s="45"/>
      <c r="R7" s="45">
        <f t="shared" si="4"/>
        <v>0</v>
      </c>
      <c r="S7" s="45"/>
      <c r="T7" s="45"/>
      <c r="U7" s="45">
        <f t="shared" si="5"/>
        <v>0</v>
      </c>
      <c r="V7" s="45"/>
      <c r="W7" s="45"/>
      <c r="X7" s="45">
        <f t="shared" si="6"/>
        <v>0</v>
      </c>
    </row>
    <row r="8" spans="1:24" s="37" customFormat="1" x14ac:dyDescent="0.2">
      <c r="A8" s="340" t="s">
        <v>370</v>
      </c>
      <c r="B8" s="288" t="s">
        <v>369</v>
      </c>
      <c r="C8" s="361" t="s">
        <v>366</v>
      </c>
      <c r="D8" s="45">
        <v>18500</v>
      </c>
      <c r="E8" s="45">
        <v>18500</v>
      </c>
      <c r="F8" s="45">
        <f t="shared" si="7"/>
        <v>0</v>
      </c>
      <c r="G8" s="45"/>
      <c r="H8" s="45"/>
      <c r="I8" s="45">
        <f t="shared" si="1"/>
        <v>0</v>
      </c>
      <c r="J8" s="45"/>
      <c r="K8" s="45"/>
      <c r="L8" s="45">
        <f t="shared" si="2"/>
        <v>0</v>
      </c>
      <c r="M8" s="45"/>
      <c r="N8" s="45"/>
      <c r="O8" s="45">
        <f t="shared" si="3"/>
        <v>0</v>
      </c>
      <c r="P8" s="45"/>
      <c r="Q8" s="45"/>
      <c r="R8" s="45">
        <f t="shared" si="4"/>
        <v>0</v>
      </c>
      <c r="S8" s="45"/>
      <c r="T8" s="45"/>
      <c r="U8" s="45">
        <f t="shared" si="5"/>
        <v>0</v>
      </c>
      <c r="V8" s="45"/>
      <c r="W8" s="45"/>
      <c r="X8" s="45">
        <f t="shared" si="6"/>
        <v>0</v>
      </c>
    </row>
    <row r="9" spans="1:24" s="37" customFormat="1" x14ac:dyDescent="0.2">
      <c r="A9" s="340" t="s">
        <v>338</v>
      </c>
      <c r="B9" s="288" t="s">
        <v>352</v>
      </c>
      <c r="C9" s="361" t="s">
        <v>366</v>
      </c>
      <c r="D9" s="45">
        <v>32200</v>
      </c>
      <c r="E9" s="45"/>
      <c r="F9" s="45">
        <f t="shared" si="7"/>
        <v>32200</v>
      </c>
      <c r="G9" s="45"/>
      <c r="H9" s="45">
        <v>32200</v>
      </c>
      <c r="I9" s="45">
        <f t="shared" si="1"/>
        <v>0</v>
      </c>
      <c r="J9" s="45"/>
      <c r="K9" s="45"/>
      <c r="L9" s="45">
        <f t="shared" si="2"/>
        <v>0</v>
      </c>
      <c r="M9" s="45"/>
      <c r="N9" s="45"/>
      <c r="O9" s="45">
        <f t="shared" si="3"/>
        <v>0</v>
      </c>
      <c r="P9" s="45"/>
      <c r="Q9" s="45"/>
      <c r="R9" s="45">
        <f t="shared" si="4"/>
        <v>0</v>
      </c>
      <c r="S9" s="45"/>
      <c r="T9" s="45"/>
      <c r="U9" s="45">
        <f t="shared" si="5"/>
        <v>0</v>
      </c>
      <c r="V9" s="45"/>
      <c r="W9" s="45"/>
      <c r="X9" s="45">
        <f t="shared" si="6"/>
        <v>0</v>
      </c>
    </row>
    <row r="10" spans="1:24" s="37" customFormat="1" x14ac:dyDescent="0.2">
      <c r="A10" s="340" t="s">
        <v>339</v>
      </c>
      <c r="B10" s="288" t="s">
        <v>353</v>
      </c>
      <c r="C10" s="361" t="s">
        <v>366</v>
      </c>
      <c r="D10" s="45"/>
      <c r="E10" s="45"/>
      <c r="F10" s="45">
        <f t="shared" si="7"/>
        <v>0</v>
      </c>
      <c r="G10" s="45">
        <v>8000</v>
      </c>
      <c r="H10" s="45"/>
      <c r="I10" s="45">
        <f t="shared" si="1"/>
        <v>8000</v>
      </c>
      <c r="J10" s="45">
        <v>28000</v>
      </c>
      <c r="K10" s="45">
        <v>36000</v>
      </c>
      <c r="L10" s="45">
        <f t="shared" si="2"/>
        <v>0</v>
      </c>
      <c r="M10" s="45"/>
      <c r="N10" s="45"/>
      <c r="O10" s="45">
        <f t="shared" si="3"/>
        <v>0</v>
      </c>
      <c r="P10" s="45"/>
      <c r="Q10" s="45"/>
      <c r="R10" s="45">
        <f t="shared" si="4"/>
        <v>0</v>
      </c>
      <c r="S10" s="45"/>
      <c r="T10" s="45"/>
      <c r="U10" s="45">
        <f t="shared" si="5"/>
        <v>0</v>
      </c>
      <c r="V10" s="45"/>
      <c r="W10" s="45"/>
      <c r="X10" s="45">
        <f t="shared" si="6"/>
        <v>0</v>
      </c>
    </row>
    <row r="11" spans="1:24" s="37" customFormat="1" ht="15" x14ac:dyDescent="0.25">
      <c r="A11" s="347" t="s">
        <v>365</v>
      </c>
      <c r="B11" s="288"/>
      <c r="C11" s="361" t="s">
        <v>366</v>
      </c>
      <c r="D11" s="45"/>
      <c r="E11" s="45"/>
      <c r="F11" s="45">
        <f t="shared" si="7"/>
        <v>0</v>
      </c>
      <c r="G11" s="45"/>
      <c r="H11" s="45"/>
      <c r="I11" s="45">
        <f t="shared" si="1"/>
        <v>0</v>
      </c>
      <c r="J11" s="45"/>
      <c r="K11" s="45"/>
      <c r="L11" s="45">
        <f t="shared" si="2"/>
        <v>0</v>
      </c>
      <c r="M11" s="45"/>
      <c r="N11" s="45"/>
      <c r="O11" s="45">
        <f t="shared" si="3"/>
        <v>0</v>
      </c>
      <c r="P11" s="45"/>
      <c r="Q11" s="45"/>
      <c r="R11" s="45">
        <f t="shared" si="4"/>
        <v>0</v>
      </c>
      <c r="S11" s="45"/>
      <c r="T11" s="45"/>
      <c r="U11" s="45">
        <f t="shared" si="5"/>
        <v>0</v>
      </c>
      <c r="V11" s="45"/>
      <c r="W11" s="45"/>
      <c r="X11" s="45">
        <f t="shared" si="6"/>
        <v>0</v>
      </c>
    </row>
    <row r="12" spans="1:24" s="37" customFormat="1" x14ac:dyDescent="0.2">
      <c r="A12" s="340" t="s">
        <v>354</v>
      </c>
      <c r="B12" s="288" t="s">
        <v>312</v>
      </c>
      <c r="C12" s="361" t="s">
        <v>366</v>
      </c>
      <c r="D12" s="45"/>
      <c r="E12" s="45"/>
      <c r="F12" s="45">
        <f t="shared" si="7"/>
        <v>0</v>
      </c>
      <c r="G12" s="45">
        <v>46300</v>
      </c>
      <c r="H12" s="45"/>
      <c r="I12" s="45">
        <f t="shared" si="1"/>
        <v>46300</v>
      </c>
      <c r="J12" s="45"/>
      <c r="K12" s="45">
        <v>46300</v>
      </c>
      <c r="L12" s="45">
        <f t="shared" si="2"/>
        <v>0</v>
      </c>
      <c r="M12" s="45"/>
      <c r="N12" s="45"/>
      <c r="O12" s="45">
        <f t="shared" si="3"/>
        <v>0</v>
      </c>
      <c r="P12" s="45"/>
      <c r="Q12" s="45"/>
      <c r="R12" s="45">
        <f t="shared" si="4"/>
        <v>0</v>
      </c>
      <c r="S12" s="45"/>
      <c r="T12" s="45"/>
      <c r="U12" s="45">
        <f t="shared" si="5"/>
        <v>0</v>
      </c>
      <c r="V12" s="45"/>
      <c r="W12" s="45"/>
      <c r="X12" s="45">
        <f t="shared" si="6"/>
        <v>0</v>
      </c>
    </row>
    <row r="13" spans="1:24" s="37" customFormat="1" x14ac:dyDescent="0.2">
      <c r="A13" s="340" t="s">
        <v>317</v>
      </c>
      <c r="B13" s="288">
        <v>3527</v>
      </c>
      <c r="C13" s="361" t="s">
        <v>366</v>
      </c>
      <c r="D13" s="45">
        <v>37700</v>
      </c>
      <c r="E13" s="45"/>
      <c r="F13" s="45">
        <f t="shared" si="7"/>
        <v>37700</v>
      </c>
      <c r="G13" s="45"/>
      <c r="H13" s="45">
        <v>37700</v>
      </c>
      <c r="I13" s="45">
        <f t="shared" si="1"/>
        <v>0</v>
      </c>
      <c r="J13" s="45"/>
      <c r="K13" s="45"/>
      <c r="L13" s="45">
        <f t="shared" si="2"/>
        <v>0</v>
      </c>
      <c r="M13" s="45"/>
      <c r="N13" s="45"/>
      <c r="O13" s="45">
        <f t="shared" si="3"/>
        <v>0</v>
      </c>
      <c r="P13" s="45"/>
      <c r="Q13" s="45"/>
      <c r="R13" s="45">
        <f t="shared" si="4"/>
        <v>0</v>
      </c>
      <c r="S13" s="45"/>
      <c r="T13" s="45"/>
      <c r="U13" s="45">
        <f t="shared" si="5"/>
        <v>0</v>
      </c>
      <c r="V13" s="45"/>
      <c r="W13" s="45"/>
      <c r="X13" s="45">
        <f t="shared" si="6"/>
        <v>0</v>
      </c>
    </row>
    <row r="14" spans="1:24" s="37" customFormat="1" x14ac:dyDescent="0.2">
      <c r="A14" s="340" t="s">
        <v>318</v>
      </c>
      <c r="B14" s="288">
        <v>3528</v>
      </c>
      <c r="C14" s="361" t="s">
        <v>366</v>
      </c>
      <c r="D14" s="45">
        <v>47217</v>
      </c>
      <c r="E14" s="45"/>
      <c r="F14" s="45">
        <f t="shared" si="7"/>
        <v>47217</v>
      </c>
      <c r="G14" s="45"/>
      <c r="H14" s="45">
        <v>47217</v>
      </c>
      <c r="I14" s="45">
        <f t="shared" si="1"/>
        <v>0</v>
      </c>
      <c r="J14" s="45"/>
      <c r="K14" s="45"/>
      <c r="L14" s="45">
        <f t="shared" si="2"/>
        <v>0</v>
      </c>
      <c r="M14" s="45"/>
      <c r="N14" s="45"/>
      <c r="O14" s="45">
        <f t="shared" si="3"/>
        <v>0</v>
      </c>
      <c r="P14" s="45"/>
      <c r="Q14" s="45"/>
      <c r="R14" s="45">
        <f t="shared" si="4"/>
        <v>0</v>
      </c>
      <c r="S14" s="45"/>
      <c r="T14" s="45"/>
      <c r="U14" s="45">
        <f t="shared" si="5"/>
        <v>0</v>
      </c>
      <c r="V14" s="45"/>
      <c r="W14" s="45"/>
      <c r="X14" s="45">
        <f t="shared" si="6"/>
        <v>0</v>
      </c>
    </row>
    <row r="15" spans="1:24" s="37" customFormat="1" x14ac:dyDescent="0.2">
      <c r="A15" s="340" t="s">
        <v>319</v>
      </c>
      <c r="B15" s="288">
        <v>3530</v>
      </c>
      <c r="C15" s="361" t="s">
        <v>366</v>
      </c>
      <c r="D15" s="45">
        <v>34900</v>
      </c>
      <c r="E15" s="45"/>
      <c r="F15" s="45">
        <f t="shared" si="7"/>
        <v>34900</v>
      </c>
      <c r="G15" s="45"/>
      <c r="H15" s="45">
        <v>34900</v>
      </c>
      <c r="I15" s="45">
        <f t="shared" si="1"/>
        <v>0</v>
      </c>
      <c r="J15" s="45"/>
      <c r="K15" s="45"/>
      <c r="L15" s="45">
        <f t="shared" si="2"/>
        <v>0</v>
      </c>
      <c r="M15" s="45"/>
      <c r="N15" s="45"/>
      <c r="O15" s="45">
        <f t="shared" si="3"/>
        <v>0</v>
      </c>
      <c r="P15" s="45"/>
      <c r="Q15" s="45"/>
      <c r="R15" s="45">
        <f t="shared" si="4"/>
        <v>0</v>
      </c>
      <c r="S15" s="45"/>
      <c r="T15" s="45"/>
      <c r="U15" s="45">
        <f t="shared" si="5"/>
        <v>0</v>
      </c>
      <c r="V15" s="45"/>
      <c r="W15" s="45"/>
      <c r="X15" s="45">
        <f t="shared" si="6"/>
        <v>0</v>
      </c>
    </row>
    <row r="16" spans="1:24" s="37" customFormat="1" x14ac:dyDescent="0.2">
      <c r="A16" s="340" t="s">
        <v>320</v>
      </c>
      <c r="B16" s="288">
        <v>3531</v>
      </c>
      <c r="C16" s="361" t="s">
        <v>366</v>
      </c>
      <c r="D16" s="45"/>
      <c r="E16" s="45"/>
      <c r="F16" s="45">
        <f t="shared" si="7"/>
        <v>0</v>
      </c>
      <c r="G16" s="45">
        <v>26000</v>
      </c>
      <c r="H16" s="45">
        <v>26000</v>
      </c>
      <c r="I16" s="45">
        <f t="shared" si="1"/>
        <v>0</v>
      </c>
      <c r="J16" s="45"/>
      <c r="K16" s="45"/>
      <c r="L16" s="45">
        <f t="shared" si="2"/>
        <v>0</v>
      </c>
      <c r="M16" s="45"/>
      <c r="N16" s="45"/>
      <c r="O16" s="45">
        <f t="shared" si="3"/>
        <v>0</v>
      </c>
      <c r="P16" s="45"/>
      <c r="Q16" s="45"/>
      <c r="R16" s="45">
        <f t="shared" si="4"/>
        <v>0</v>
      </c>
      <c r="S16" s="45"/>
      <c r="T16" s="45"/>
      <c r="U16" s="45">
        <f t="shared" si="5"/>
        <v>0</v>
      </c>
      <c r="V16" s="45"/>
      <c r="W16" s="45"/>
      <c r="X16" s="45">
        <f t="shared" si="6"/>
        <v>0</v>
      </c>
    </row>
    <row r="17" spans="1:24" s="37" customFormat="1" x14ac:dyDescent="0.2">
      <c r="A17" s="340" t="s">
        <v>321</v>
      </c>
      <c r="B17" s="288">
        <v>3532</v>
      </c>
      <c r="C17" s="361" t="s">
        <v>366</v>
      </c>
      <c r="D17" s="45">
        <v>39000</v>
      </c>
      <c r="E17" s="45"/>
      <c r="F17" s="45">
        <f t="shared" si="7"/>
        <v>39000</v>
      </c>
      <c r="G17" s="45"/>
      <c r="H17" s="45">
        <v>39000</v>
      </c>
      <c r="I17" s="45">
        <f t="shared" si="1"/>
        <v>0</v>
      </c>
      <c r="J17" s="45"/>
      <c r="K17" s="45"/>
      <c r="L17" s="45">
        <f t="shared" si="2"/>
        <v>0</v>
      </c>
      <c r="M17" s="45"/>
      <c r="N17" s="45"/>
      <c r="O17" s="45">
        <f t="shared" si="3"/>
        <v>0</v>
      </c>
      <c r="P17" s="45"/>
      <c r="Q17" s="45"/>
      <c r="R17" s="45">
        <f t="shared" si="4"/>
        <v>0</v>
      </c>
      <c r="S17" s="45"/>
      <c r="T17" s="45"/>
      <c r="U17" s="45">
        <f t="shared" si="5"/>
        <v>0</v>
      </c>
      <c r="V17" s="45"/>
      <c r="W17" s="45"/>
      <c r="X17" s="45">
        <f t="shared" si="6"/>
        <v>0</v>
      </c>
    </row>
    <row r="18" spans="1:24" s="37" customFormat="1" x14ac:dyDescent="0.2">
      <c r="A18" s="340" t="s">
        <v>371</v>
      </c>
      <c r="B18" s="288" t="s">
        <v>372</v>
      </c>
      <c r="C18" s="361" t="s">
        <v>366</v>
      </c>
      <c r="D18" s="45"/>
      <c r="E18" s="45"/>
      <c r="F18" s="45">
        <f t="shared" si="7"/>
        <v>0</v>
      </c>
      <c r="G18" s="45">
        <v>150000</v>
      </c>
      <c r="H18" s="45"/>
      <c r="I18" s="45">
        <f t="shared" si="1"/>
        <v>150000</v>
      </c>
      <c r="J18" s="45">
        <v>29000</v>
      </c>
      <c r="K18" s="45">
        <v>100000</v>
      </c>
      <c r="L18" s="45">
        <f t="shared" si="2"/>
        <v>79000</v>
      </c>
      <c r="M18" s="45"/>
      <c r="N18" s="45">
        <v>79000</v>
      </c>
      <c r="O18" s="45">
        <f t="shared" si="3"/>
        <v>0</v>
      </c>
      <c r="P18" s="45"/>
      <c r="Q18" s="45"/>
      <c r="R18" s="45">
        <f t="shared" si="4"/>
        <v>0</v>
      </c>
      <c r="S18" s="45"/>
      <c r="T18" s="45"/>
      <c r="U18" s="45">
        <f t="shared" si="5"/>
        <v>0</v>
      </c>
      <c r="V18" s="45"/>
      <c r="W18" s="45"/>
      <c r="X18" s="45">
        <f t="shared" si="6"/>
        <v>0</v>
      </c>
    </row>
    <row r="19" spans="1:24" s="37" customFormat="1" x14ac:dyDescent="0.2">
      <c r="A19" s="340" t="s">
        <v>373</v>
      </c>
      <c r="B19" s="288" t="s">
        <v>374</v>
      </c>
      <c r="C19" s="361" t="s">
        <v>366</v>
      </c>
      <c r="D19" s="45">
        <v>84000</v>
      </c>
      <c r="E19" s="45"/>
      <c r="F19" s="45">
        <f t="shared" si="7"/>
        <v>84000</v>
      </c>
      <c r="G19" s="45"/>
      <c r="H19" s="45">
        <v>84000</v>
      </c>
      <c r="I19" s="45">
        <f t="shared" si="1"/>
        <v>0</v>
      </c>
      <c r="J19" s="45"/>
      <c r="K19" s="45"/>
      <c r="L19" s="45">
        <f t="shared" si="2"/>
        <v>0</v>
      </c>
      <c r="M19" s="45"/>
      <c r="N19" s="45"/>
      <c r="O19" s="45">
        <f t="shared" si="3"/>
        <v>0</v>
      </c>
      <c r="P19" s="45"/>
      <c r="Q19" s="45"/>
      <c r="R19" s="45">
        <f t="shared" si="4"/>
        <v>0</v>
      </c>
      <c r="S19" s="45"/>
      <c r="T19" s="45"/>
      <c r="U19" s="45">
        <f t="shared" si="5"/>
        <v>0</v>
      </c>
      <c r="V19" s="45"/>
      <c r="W19" s="45"/>
      <c r="X19" s="45">
        <f t="shared" si="6"/>
        <v>0</v>
      </c>
    </row>
    <row r="20" spans="1:24" s="37" customFormat="1" x14ac:dyDescent="0.2">
      <c r="A20" s="340" t="s">
        <v>375</v>
      </c>
      <c r="B20" s="288" t="s">
        <v>376</v>
      </c>
      <c r="C20" s="361" t="s">
        <v>366</v>
      </c>
      <c r="D20" s="45">
        <v>0</v>
      </c>
      <c r="E20" s="45"/>
      <c r="F20" s="45">
        <f t="shared" si="7"/>
        <v>0</v>
      </c>
      <c r="G20" s="45">
        <v>38000</v>
      </c>
      <c r="H20" s="45"/>
      <c r="I20" s="45">
        <f t="shared" si="1"/>
        <v>38000</v>
      </c>
      <c r="J20" s="45"/>
      <c r="K20" s="45">
        <v>38000</v>
      </c>
      <c r="L20" s="45">
        <f t="shared" si="2"/>
        <v>0</v>
      </c>
      <c r="M20" s="45"/>
      <c r="N20" s="45"/>
      <c r="O20" s="45">
        <f t="shared" si="3"/>
        <v>0</v>
      </c>
      <c r="P20" s="45"/>
      <c r="Q20" s="45"/>
      <c r="R20" s="45">
        <f t="shared" si="4"/>
        <v>0</v>
      </c>
      <c r="S20" s="45"/>
      <c r="T20" s="45"/>
      <c r="U20" s="45">
        <f t="shared" si="5"/>
        <v>0</v>
      </c>
      <c r="V20" s="45"/>
      <c r="W20" s="45"/>
      <c r="X20" s="45">
        <f t="shared" si="6"/>
        <v>0</v>
      </c>
    </row>
    <row r="21" spans="1:24" s="37" customFormat="1" x14ac:dyDescent="0.2">
      <c r="A21" s="340" t="s">
        <v>377</v>
      </c>
      <c r="B21" s="288" t="s">
        <v>378</v>
      </c>
      <c r="C21" s="361" t="s">
        <v>366</v>
      </c>
      <c r="D21" s="45"/>
      <c r="E21" s="45"/>
      <c r="F21" s="45">
        <f t="shared" si="7"/>
        <v>0</v>
      </c>
      <c r="G21" s="45">
        <v>24000</v>
      </c>
      <c r="H21" s="45"/>
      <c r="I21" s="45">
        <f t="shared" si="1"/>
        <v>24000</v>
      </c>
      <c r="J21" s="45">
        <v>31500</v>
      </c>
      <c r="K21" s="45">
        <v>19500</v>
      </c>
      <c r="L21" s="45">
        <f t="shared" si="2"/>
        <v>36000</v>
      </c>
      <c r="M21" s="45"/>
      <c r="N21" s="45">
        <v>36000</v>
      </c>
      <c r="O21" s="45">
        <f t="shared" si="3"/>
        <v>0</v>
      </c>
      <c r="P21" s="45"/>
      <c r="Q21" s="45"/>
      <c r="R21" s="45">
        <f t="shared" si="4"/>
        <v>0</v>
      </c>
      <c r="S21" s="45"/>
      <c r="T21" s="45"/>
      <c r="U21" s="45">
        <f t="shared" si="5"/>
        <v>0</v>
      </c>
      <c r="V21" s="45"/>
      <c r="W21" s="45"/>
      <c r="X21" s="45">
        <f t="shared" si="6"/>
        <v>0</v>
      </c>
    </row>
    <row r="22" spans="1:24" s="8" customFormat="1" x14ac:dyDescent="0.2">
      <c r="A22" s="341" t="s">
        <v>31</v>
      </c>
      <c r="B22" s="352" t="s">
        <v>311</v>
      </c>
      <c r="C22" s="353" t="s">
        <v>311</v>
      </c>
      <c r="D22" s="342">
        <f t="shared" ref="D22:W22" si="8">SUBTOTAL(9,D6:D21)</f>
        <v>302517</v>
      </c>
      <c r="E22" s="342">
        <f t="shared" si="8"/>
        <v>18500</v>
      </c>
      <c r="F22" s="365">
        <f t="shared" si="7"/>
        <v>284017</v>
      </c>
      <c r="G22" s="342">
        <f t="shared" si="8"/>
        <v>442300</v>
      </c>
      <c r="H22" s="342">
        <f t="shared" si="8"/>
        <v>365017</v>
      </c>
      <c r="I22" s="365">
        <f t="shared" si="1"/>
        <v>361300</v>
      </c>
      <c r="J22" s="342">
        <f t="shared" si="8"/>
        <v>203500</v>
      </c>
      <c r="K22" s="342">
        <f t="shared" si="8"/>
        <v>339800</v>
      </c>
      <c r="L22" s="365">
        <f t="shared" si="2"/>
        <v>225000</v>
      </c>
      <c r="M22" s="342">
        <f t="shared" si="8"/>
        <v>0</v>
      </c>
      <c r="N22" s="342">
        <f t="shared" si="8"/>
        <v>225000</v>
      </c>
      <c r="O22" s="365">
        <f t="shared" si="3"/>
        <v>0</v>
      </c>
      <c r="P22" s="342">
        <f t="shared" si="8"/>
        <v>0</v>
      </c>
      <c r="Q22" s="342">
        <f t="shared" si="8"/>
        <v>0</v>
      </c>
      <c r="R22" s="365">
        <f t="shared" si="4"/>
        <v>0</v>
      </c>
      <c r="S22" s="342">
        <f t="shared" si="8"/>
        <v>0</v>
      </c>
      <c r="T22" s="342">
        <f t="shared" si="8"/>
        <v>0</v>
      </c>
      <c r="U22" s="365">
        <f t="shared" si="5"/>
        <v>0</v>
      </c>
      <c r="V22" s="342">
        <f t="shared" si="8"/>
        <v>0</v>
      </c>
      <c r="W22" s="342">
        <f t="shared" si="8"/>
        <v>0</v>
      </c>
      <c r="X22" s="365">
        <f t="shared" si="6"/>
        <v>0</v>
      </c>
    </row>
    <row r="23" spans="1:24" x14ac:dyDescent="0.2">
      <c r="A23" s="339" t="s">
        <v>323</v>
      </c>
      <c r="B23" s="294" t="s">
        <v>324</v>
      </c>
      <c r="C23" s="361" t="s">
        <v>366</v>
      </c>
      <c r="D23" s="7"/>
      <c r="E23" s="7"/>
      <c r="F23" s="45">
        <f t="shared" si="7"/>
        <v>0</v>
      </c>
      <c r="G23" s="7">
        <v>24000</v>
      </c>
      <c r="H23" s="7">
        <v>24000</v>
      </c>
      <c r="I23" s="45">
        <f t="shared" si="1"/>
        <v>0</v>
      </c>
      <c r="J23" s="7"/>
      <c r="K23" s="7"/>
      <c r="L23" s="45">
        <f t="shared" si="2"/>
        <v>0</v>
      </c>
      <c r="M23" s="7"/>
      <c r="N23" s="7"/>
      <c r="O23" s="45">
        <f t="shared" si="3"/>
        <v>0</v>
      </c>
      <c r="P23" s="7"/>
      <c r="Q23" s="7"/>
      <c r="R23" s="45">
        <f t="shared" si="4"/>
        <v>0</v>
      </c>
      <c r="S23" s="7"/>
      <c r="T23" s="7"/>
      <c r="U23" s="45">
        <f t="shared" si="5"/>
        <v>0</v>
      </c>
      <c r="V23" s="7"/>
      <c r="W23" s="7"/>
      <c r="X23" s="45">
        <f t="shared" si="6"/>
        <v>0</v>
      </c>
    </row>
    <row r="24" spans="1:24" s="8" customFormat="1" x14ac:dyDescent="0.2">
      <c r="A24" s="341" t="s">
        <v>322</v>
      </c>
      <c r="B24" s="352" t="s">
        <v>311</v>
      </c>
      <c r="C24" s="353" t="s">
        <v>311</v>
      </c>
      <c r="D24" s="342">
        <f t="shared" ref="D24:M24" si="9">SUBTOTAL(9,D23:D23)</f>
        <v>0</v>
      </c>
      <c r="E24" s="342">
        <f t="shared" si="9"/>
        <v>0</v>
      </c>
      <c r="F24" s="365">
        <f t="shared" si="7"/>
        <v>0</v>
      </c>
      <c r="G24" s="342">
        <f t="shared" si="9"/>
        <v>24000</v>
      </c>
      <c r="H24" s="342">
        <f t="shared" si="9"/>
        <v>24000</v>
      </c>
      <c r="I24" s="365">
        <f t="shared" si="1"/>
        <v>0</v>
      </c>
      <c r="J24" s="342">
        <f t="shared" si="9"/>
        <v>0</v>
      </c>
      <c r="K24" s="342">
        <f t="shared" si="9"/>
        <v>0</v>
      </c>
      <c r="L24" s="365">
        <f t="shared" si="2"/>
        <v>0</v>
      </c>
      <c r="M24" s="342">
        <f t="shared" si="9"/>
        <v>0</v>
      </c>
      <c r="N24" s="342">
        <f t="shared" ref="N24:W24" si="10">SUBTOTAL(9,N23)</f>
        <v>0</v>
      </c>
      <c r="O24" s="365">
        <f t="shared" si="3"/>
        <v>0</v>
      </c>
      <c r="P24" s="342">
        <f t="shared" si="10"/>
        <v>0</v>
      </c>
      <c r="Q24" s="342">
        <f t="shared" si="10"/>
        <v>0</v>
      </c>
      <c r="R24" s="365">
        <f t="shared" si="4"/>
        <v>0</v>
      </c>
      <c r="S24" s="342">
        <f t="shared" si="10"/>
        <v>0</v>
      </c>
      <c r="T24" s="342">
        <f t="shared" si="10"/>
        <v>0</v>
      </c>
      <c r="U24" s="365">
        <f t="shared" si="5"/>
        <v>0</v>
      </c>
      <c r="V24" s="342">
        <f t="shared" si="10"/>
        <v>0</v>
      </c>
      <c r="W24" s="342">
        <f t="shared" si="10"/>
        <v>0</v>
      </c>
      <c r="X24" s="365">
        <f t="shared" si="6"/>
        <v>0</v>
      </c>
    </row>
    <row r="25" spans="1:24" s="37" customFormat="1" x14ac:dyDescent="0.2">
      <c r="A25" s="343" t="s">
        <v>314</v>
      </c>
      <c r="B25" s="288" t="s">
        <v>313</v>
      </c>
      <c r="C25" s="361" t="s">
        <v>366</v>
      </c>
      <c r="D25" s="45">
        <v>16500</v>
      </c>
      <c r="E25" s="45"/>
      <c r="F25" s="45">
        <f t="shared" si="7"/>
        <v>16500</v>
      </c>
      <c r="G25" s="45">
        <v>84500</v>
      </c>
      <c r="H25" s="45">
        <v>62800</v>
      </c>
      <c r="I25" s="45">
        <f t="shared" si="1"/>
        <v>38200</v>
      </c>
      <c r="J25" s="45">
        <v>15800</v>
      </c>
      <c r="K25" s="45">
        <v>54000</v>
      </c>
      <c r="L25" s="45">
        <f t="shared" si="2"/>
        <v>0</v>
      </c>
      <c r="M25" s="45"/>
      <c r="N25" s="45"/>
      <c r="O25" s="45">
        <f t="shared" si="3"/>
        <v>0</v>
      </c>
      <c r="P25" s="45"/>
      <c r="Q25" s="45"/>
      <c r="R25" s="45">
        <f t="shared" si="4"/>
        <v>0</v>
      </c>
      <c r="S25" s="45"/>
      <c r="T25" s="45"/>
      <c r="U25" s="45">
        <f t="shared" si="5"/>
        <v>0</v>
      </c>
      <c r="V25" s="45"/>
      <c r="W25" s="45"/>
      <c r="X25" s="45">
        <f t="shared" si="6"/>
        <v>0</v>
      </c>
    </row>
    <row r="26" spans="1:24" s="8" customFormat="1" x14ac:dyDescent="0.2">
      <c r="A26" s="341" t="s">
        <v>304</v>
      </c>
      <c r="B26" s="352" t="s">
        <v>311</v>
      </c>
      <c r="C26" s="353" t="s">
        <v>311</v>
      </c>
      <c r="D26" s="342">
        <f t="shared" ref="D26:W26" si="11">SUBTOTAL(9,D25:D25)</f>
        <v>16500</v>
      </c>
      <c r="E26" s="342">
        <f t="shared" si="11"/>
        <v>0</v>
      </c>
      <c r="F26" s="365">
        <f t="shared" si="7"/>
        <v>16500</v>
      </c>
      <c r="G26" s="342">
        <f t="shared" si="11"/>
        <v>84500</v>
      </c>
      <c r="H26" s="342">
        <f t="shared" si="11"/>
        <v>62800</v>
      </c>
      <c r="I26" s="365">
        <f t="shared" si="1"/>
        <v>38200</v>
      </c>
      <c r="J26" s="342">
        <f t="shared" si="11"/>
        <v>15800</v>
      </c>
      <c r="K26" s="342">
        <f t="shared" si="11"/>
        <v>54000</v>
      </c>
      <c r="L26" s="365">
        <f t="shared" si="2"/>
        <v>0</v>
      </c>
      <c r="M26" s="342">
        <f t="shared" si="11"/>
        <v>0</v>
      </c>
      <c r="N26" s="342">
        <f t="shared" si="11"/>
        <v>0</v>
      </c>
      <c r="O26" s="365">
        <f t="shared" si="3"/>
        <v>0</v>
      </c>
      <c r="P26" s="342">
        <f t="shared" si="11"/>
        <v>0</v>
      </c>
      <c r="Q26" s="342">
        <f t="shared" si="11"/>
        <v>0</v>
      </c>
      <c r="R26" s="365">
        <f t="shared" si="4"/>
        <v>0</v>
      </c>
      <c r="S26" s="342">
        <f t="shared" si="11"/>
        <v>0</v>
      </c>
      <c r="T26" s="342">
        <f t="shared" si="11"/>
        <v>0</v>
      </c>
      <c r="U26" s="365">
        <f t="shared" si="5"/>
        <v>0</v>
      </c>
      <c r="V26" s="342">
        <f t="shared" si="11"/>
        <v>0</v>
      </c>
      <c r="W26" s="342">
        <f t="shared" si="11"/>
        <v>0</v>
      </c>
      <c r="X26" s="365">
        <f t="shared" si="6"/>
        <v>0</v>
      </c>
    </row>
    <row r="27" spans="1:24" x14ac:dyDescent="0.2">
      <c r="A27" s="339" t="s">
        <v>309</v>
      </c>
      <c r="B27" s="294">
        <v>3505</v>
      </c>
      <c r="C27" s="361" t="s">
        <v>366</v>
      </c>
      <c r="D27" s="45">
        <v>197283</v>
      </c>
      <c r="E27" s="12"/>
      <c r="F27" s="45">
        <f t="shared" si="7"/>
        <v>197283</v>
      </c>
      <c r="G27" s="12">
        <v>605030</v>
      </c>
      <c r="H27" s="12">
        <v>345580</v>
      </c>
      <c r="I27" s="45">
        <f t="shared" si="1"/>
        <v>456733</v>
      </c>
      <c r="J27" s="7">
        <v>786427</v>
      </c>
      <c r="K27" s="12">
        <v>771500</v>
      </c>
      <c r="L27" s="45">
        <f t="shared" si="2"/>
        <v>471660</v>
      </c>
      <c r="M27" s="12"/>
      <c r="N27" s="12">
        <v>471660</v>
      </c>
      <c r="O27" s="45">
        <f t="shared" si="3"/>
        <v>0</v>
      </c>
      <c r="P27" s="12"/>
      <c r="Q27" s="12"/>
      <c r="R27" s="45">
        <f t="shared" si="4"/>
        <v>0</v>
      </c>
      <c r="S27" s="12"/>
      <c r="T27" s="12"/>
      <c r="U27" s="45">
        <f t="shared" si="5"/>
        <v>0</v>
      </c>
      <c r="V27" s="12"/>
      <c r="W27" s="12"/>
      <c r="X27" s="45">
        <f t="shared" si="6"/>
        <v>0</v>
      </c>
    </row>
    <row r="28" spans="1:24" x14ac:dyDescent="0.2">
      <c r="A28" s="339" t="s">
        <v>379</v>
      </c>
      <c r="B28" s="294" t="s">
        <v>380</v>
      </c>
      <c r="C28" s="361" t="s">
        <v>366</v>
      </c>
      <c r="D28" s="45">
        <v>15000</v>
      </c>
      <c r="E28" s="12"/>
      <c r="F28" s="45">
        <f t="shared" si="7"/>
        <v>15000</v>
      </c>
      <c r="G28" s="12">
        <v>23000</v>
      </c>
      <c r="H28" s="12">
        <v>15000</v>
      </c>
      <c r="I28" s="45">
        <f t="shared" si="1"/>
        <v>23000</v>
      </c>
      <c r="J28" s="7"/>
      <c r="K28" s="12">
        <v>23000</v>
      </c>
      <c r="L28" s="45">
        <f t="shared" si="2"/>
        <v>0</v>
      </c>
      <c r="M28" s="12"/>
      <c r="N28" s="12"/>
      <c r="O28" s="45">
        <f t="shared" si="3"/>
        <v>0</v>
      </c>
      <c r="P28" s="12"/>
      <c r="Q28" s="12"/>
      <c r="R28" s="45">
        <f t="shared" si="4"/>
        <v>0</v>
      </c>
      <c r="S28" s="12"/>
      <c r="T28" s="12"/>
      <c r="U28" s="45">
        <f t="shared" si="5"/>
        <v>0</v>
      </c>
      <c r="V28" s="12"/>
      <c r="W28" s="12"/>
      <c r="X28" s="45">
        <f t="shared" si="6"/>
        <v>0</v>
      </c>
    </row>
    <row r="29" spans="1:24" x14ac:dyDescent="0.2">
      <c r="A29" s="339" t="s">
        <v>381</v>
      </c>
      <c r="B29" s="294" t="s">
        <v>382</v>
      </c>
      <c r="C29" s="361" t="s">
        <v>366</v>
      </c>
      <c r="D29" s="45">
        <v>16745</v>
      </c>
      <c r="E29" s="12">
        <v>7745</v>
      </c>
      <c r="F29" s="45">
        <f t="shared" si="7"/>
        <v>9000</v>
      </c>
      <c r="G29" s="12">
        <v>3500</v>
      </c>
      <c r="H29" s="12">
        <v>12500</v>
      </c>
      <c r="I29" s="45">
        <f t="shared" si="1"/>
        <v>0</v>
      </c>
      <c r="J29" s="7"/>
      <c r="K29" s="12"/>
      <c r="L29" s="45">
        <f t="shared" si="2"/>
        <v>0</v>
      </c>
      <c r="M29" s="12"/>
      <c r="N29" s="12"/>
      <c r="O29" s="45">
        <f t="shared" si="3"/>
        <v>0</v>
      </c>
      <c r="P29" s="12"/>
      <c r="Q29" s="12"/>
      <c r="R29" s="45">
        <f t="shared" si="4"/>
        <v>0</v>
      </c>
      <c r="S29" s="12"/>
      <c r="T29" s="12"/>
      <c r="U29" s="45">
        <f t="shared" si="5"/>
        <v>0</v>
      </c>
      <c r="V29" s="12"/>
      <c r="W29" s="12"/>
      <c r="X29" s="45">
        <f t="shared" si="6"/>
        <v>0</v>
      </c>
    </row>
    <row r="30" spans="1:24" x14ac:dyDescent="0.2">
      <c r="A30" s="339" t="s">
        <v>325</v>
      </c>
      <c r="B30" s="294">
        <v>3523</v>
      </c>
      <c r="C30" s="361" t="s">
        <v>366</v>
      </c>
      <c r="D30" s="45">
        <v>85600</v>
      </c>
      <c r="E30" s="45"/>
      <c r="F30" s="45">
        <f t="shared" si="7"/>
        <v>85600</v>
      </c>
      <c r="G30" s="45">
        <v>24500</v>
      </c>
      <c r="H30" s="45">
        <v>85600</v>
      </c>
      <c r="I30" s="45">
        <f t="shared" si="1"/>
        <v>24500</v>
      </c>
      <c r="J30" s="45"/>
      <c r="K30" s="45">
        <v>24500</v>
      </c>
      <c r="L30" s="45">
        <f t="shared" si="2"/>
        <v>0</v>
      </c>
      <c r="M30" s="12"/>
      <c r="N30" s="12"/>
      <c r="O30" s="45">
        <f t="shared" si="3"/>
        <v>0</v>
      </c>
      <c r="P30" s="12"/>
      <c r="Q30" s="12"/>
      <c r="R30" s="45">
        <f t="shared" si="4"/>
        <v>0</v>
      </c>
      <c r="S30" s="12"/>
      <c r="T30" s="12"/>
      <c r="U30" s="45">
        <f t="shared" si="5"/>
        <v>0</v>
      </c>
      <c r="V30" s="12"/>
      <c r="W30" s="12"/>
      <c r="X30" s="45">
        <f t="shared" si="6"/>
        <v>0</v>
      </c>
    </row>
    <row r="31" spans="1:24" x14ac:dyDescent="0.2">
      <c r="A31" s="339" t="s">
        <v>253</v>
      </c>
      <c r="B31" s="294">
        <v>3513</v>
      </c>
      <c r="C31" s="361" t="s">
        <v>366</v>
      </c>
      <c r="D31" s="7"/>
      <c r="E31" s="7"/>
      <c r="F31" s="45">
        <f t="shared" si="7"/>
        <v>0</v>
      </c>
      <c r="G31" s="7"/>
      <c r="H31" s="7"/>
      <c r="I31" s="45">
        <f t="shared" si="1"/>
        <v>0</v>
      </c>
      <c r="J31" s="7"/>
      <c r="K31" s="7"/>
      <c r="L31" s="45">
        <f t="shared" si="2"/>
        <v>0</v>
      </c>
      <c r="M31" s="7"/>
      <c r="N31" s="7"/>
      <c r="O31" s="45">
        <f t="shared" si="3"/>
        <v>0</v>
      </c>
      <c r="P31" s="7"/>
      <c r="Q31" s="7"/>
      <c r="R31" s="45">
        <f t="shared" si="4"/>
        <v>0</v>
      </c>
      <c r="S31" s="7"/>
      <c r="T31" s="7"/>
      <c r="U31" s="45">
        <f t="shared" si="5"/>
        <v>0</v>
      </c>
      <c r="V31" s="7"/>
      <c r="W31" s="7"/>
      <c r="X31" s="45">
        <f t="shared" si="6"/>
        <v>0</v>
      </c>
    </row>
    <row r="32" spans="1:24" x14ac:dyDescent="0.2">
      <c r="A32" s="339" t="s">
        <v>254</v>
      </c>
      <c r="B32" s="294">
        <v>3514</v>
      </c>
      <c r="C32" s="361" t="s">
        <v>366</v>
      </c>
      <c r="D32" s="7">
        <v>21500</v>
      </c>
      <c r="E32" s="7"/>
      <c r="F32" s="45">
        <f t="shared" si="7"/>
        <v>21500</v>
      </c>
      <c r="G32" s="7">
        <v>45500</v>
      </c>
      <c r="H32" s="7">
        <v>21500</v>
      </c>
      <c r="I32" s="45">
        <f t="shared" si="1"/>
        <v>45500</v>
      </c>
      <c r="J32" s="7"/>
      <c r="K32" s="7">
        <v>45500</v>
      </c>
      <c r="L32" s="45">
        <f t="shared" si="2"/>
        <v>0</v>
      </c>
      <c r="M32" s="7"/>
      <c r="N32" s="7"/>
      <c r="O32" s="45">
        <f t="shared" si="3"/>
        <v>0</v>
      </c>
      <c r="P32" s="7"/>
      <c r="Q32" s="7"/>
      <c r="R32" s="45">
        <f t="shared" si="4"/>
        <v>0</v>
      </c>
      <c r="S32" s="7"/>
      <c r="T32" s="7"/>
      <c r="U32" s="45">
        <f t="shared" si="5"/>
        <v>0</v>
      </c>
      <c r="V32" s="7"/>
      <c r="W32" s="7"/>
      <c r="X32" s="45">
        <f t="shared" si="6"/>
        <v>0</v>
      </c>
    </row>
    <row r="33" spans="1:24" x14ac:dyDescent="0.2">
      <c r="A33" s="339" t="s">
        <v>355</v>
      </c>
      <c r="B33" s="294">
        <v>3555</v>
      </c>
      <c r="C33" s="361" t="s">
        <v>366</v>
      </c>
      <c r="D33" s="7">
        <v>44500</v>
      </c>
      <c r="E33" s="7"/>
      <c r="F33" s="45">
        <f t="shared" si="7"/>
        <v>44500</v>
      </c>
      <c r="G33" s="7">
        <v>22500</v>
      </c>
      <c r="H33" s="7"/>
      <c r="I33" s="45">
        <f t="shared" si="1"/>
        <v>67000</v>
      </c>
      <c r="J33" s="7">
        <v>0</v>
      </c>
      <c r="K33" s="7">
        <v>67000</v>
      </c>
      <c r="L33" s="45">
        <f t="shared" si="2"/>
        <v>0</v>
      </c>
      <c r="M33" s="7"/>
      <c r="N33" s="7"/>
      <c r="O33" s="45">
        <f t="shared" si="3"/>
        <v>0</v>
      </c>
      <c r="P33" s="7"/>
      <c r="Q33" s="7"/>
      <c r="R33" s="45">
        <f t="shared" si="4"/>
        <v>0</v>
      </c>
      <c r="S33" s="7"/>
      <c r="T33" s="7"/>
      <c r="U33" s="45">
        <f t="shared" si="5"/>
        <v>0</v>
      </c>
      <c r="V33" s="7"/>
      <c r="W33" s="7"/>
      <c r="X33" s="45">
        <f t="shared" si="6"/>
        <v>0</v>
      </c>
    </row>
    <row r="34" spans="1:24" x14ac:dyDescent="0.2">
      <c r="A34" s="339" t="s">
        <v>356</v>
      </c>
      <c r="B34" s="294">
        <v>3549</v>
      </c>
      <c r="C34" s="361" t="s">
        <v>366</v>
      </c>
      <c r="D34" s="7"/>
      <c r="E34" s="7"/>
      <c r="F34" s="45">
        <f t="shared" si="7"/>
        <v>0</v>
      </c>
      <c r="G34" s="7"/>
      <c r="H34" s="7"/>
      <c r="I34" s="45">
        <f t="shared" si="1"/>
        <v>0</v>
      </c>
      <c r="J34" s="7"/>
      <c r="K34" s="7"/>
      <c r="L34" s="45">
        <f t="shared" si="2"/>
        <v>0</v>
      </c>
      <c r="M34" s="7"/>
      <c r="N34" s="7"/>
      <c r="O34" s="45">
        <f t="shared" si="3"/>
        <v>0</v>
      </c>
      <c r="P34" s="7"/>
      <c r="Q34" s="7"/>
      <c r="R34" s="45">
        <f t="shared" si="4"/>
        <v>0</v>
      </c>
      <c r="S34" s="7"/>
      <c r="T34" s="7"/>
      <c r="U34" s="45">
        <f t="shared" si="5"/>
        <v>0</v>
      </c>
      <c r="V34" s="7"/>
      <c r="W34" s="7"/>
      <c r="X34" s="45">
        <f t="shared" si="6"/>
        <v>0</v>
      </c>
    </row>
    <row r="35" spans="1:24" x14ac:dyDescent="0.2">
      <c r="A35" s="339" t="s">
        <v>361</v>
      </c>
      <c r="B35" s="294">
        <v>3553</v>
      </c>
      <c r="C35" s="361" t="s">
        <v>366</v>
      </c>
      <c r="D35" s="7"/>
      <c r="E35" s="7"/>
      <c r="F35" s="45">
        <f t="shared" si="7"/>
        <v>0</v>
      </c>
      <c r="G35" s="7"/>
      <c r="H35" s="7"/>
      <c r="I35" s="45">
        <f t="shared" si="1"/>
        <v>0</v>
      </c>
      <c r="J35" s="7"/>
      <c r="K35" s="7"/>
      <c r="L35" s="45">
        <f t="shared" si="2"/>
        <v>0</v>
      </c>
      <c r="M35" s="7"/>
      <c r="N35" s="7"/>
      <c r="O35" s="45">
        <f t="shared" si="3"/>
        <v>0</v>
      </c>
      <c r="P35" s="7"/>
      <c r="Q35" s="7"/>
      <c r="R35" s="45">
        <f t="shared" si="4"/>
        <v>0</v>
      </c>
      <c r="S35" s="7"/>
      <c r="T35" s="7"/>
      <c r="U35" s="45">
        <f t="shared" si="5"/>
        <v>0</v>
      </c>
      <c r="V35" s="7"/>
      <c r="W35" s="7"/>
      <c r="X35" s="45">
        <f t="shared" si="6"/>
        <v>0</v>
      </c>
    </row>
    <row r="36" spans="1:24" x14ac:dyDescent="0.2">
      <c r="A36" s="339" t="s">
        <v>364</v>
      </c>
      <c r="B36" s="294">
        <v>3554</v>
      </c>
      <c r="C36" s="361" t="s">
        <v>366</v>
      </c>
      <c r="D36" s="7"/>
      <c r="E36" s="7"/>
      <c r="F36" s="45">
        <f t="shared" si="7"/>
        <v>0</v>
      </c>
      <c r="G36" s="7"/>
      <c r="H36" s="7"/>
      <c r="I36" s="45">
        <f t="shared" si="1"/>
        <v>0</v>
      </c>
      <c r="J36" s="7"/>
      <c r="K36" s="7"/>
      <c r="L36" s="45">
        <f t="shared" si="2"/>
        <v>0</v>
      </c>
      <c r="M36" s="7"/>
      <c r="N36" s="7"/>
      <c r="O36" s="45">
        <f t="shared" si="3"/>
        <v>0</v>
      </c>
      <c r="P36" s="7"/>
      <c r="Q36" s="7"/>
      <c r="R36" s="45">
        <f t="shared" si="4"/>
        <v>0</v>
      </c>
      <c r="S36" s="7"/>
      <c r="T36" s="7"/>
      <c r="U36" s="45">
        <f t="shared" si="5"/>
        <v>0</v>
      </c>
      <c r="V36" s="7"/>
      <c r="W36" s="7"/>
      <c r="X36" s="45">
        <f t="shared" si="6"/>
        <v>0</v>
      </c>
    </row>
    <row r="37" spans="1:24" x14ac:dyDescent="0.2">
      <c r="A37" s="339" t="s">
        <v>362</v>
      </c>
      <c r="B37" s="294">
        <v>3550</v>
      </c>
      <c r="C37" s="361" t="s">
        <v>366</v>
      </c>
      <c r="D37" s="7">
        <v>21000</v>
      </c>
      <c r="E37" s="7">
        <v>10110</v>
      </c>
      <c r="F37" s="45">
        <f t="shared" si="7"/>
        <v>10890</v>
      </c>
      <c r="G37" s="7">
        <v>3500</v>
      </c>
      <c r="H37" s="7">
        <v>14390</v>
      </c>
      <c r="I37" s="45">
        <f t="shared" si="1"/>
        <v>0</v>
      </c>
      <c r="J37" s="7"/>
      <c r="K37" s="7"/>
      <c r="L37" s="45">
        <f t="shared" si="2"/>
        <v>0</v>
      </c>
      <c r="M37" s="7"/>
      <c r="N37" s="7"/>
      <c r="O37" s="45">
        <f t="shared" si="3"/>
        <v>0</v>
      </c>
      <c r="P37" s="7"/>
      <c r="Q37" s="7"/>
      <c r="R37" s="45">
        <f t="shared" si="4"/>
        <v>0</v>
      </c>
      <c r="S37" s="7"/>
      <c r="T37" s="7"/>
      <c r="U37" s="45">
        <f t="shared" si="5"/>
        <v>0</v>
      </c>
      <c r="V37" s="7"/>
      <c r="W37" s="7"/>
      <c r="X37" s="45">
        <f t="shared" si="6"/>
        <v>0</v>
      </c>
    </row>
    <row r="38" spans="1:24" x14ac:dyDescent="0.2">
      <c r="A38" s="339" t="s">
        <v>340</v>
      </c>
      <c r="B38" s="294" t="s">
        <v>341</v>
      </c>
      <c r="C38" s="361" t="s">
        <v>366</v>
      </c>
      <c r="D38" s="7">
        <v>38800</v>
      </c>
      <c r="E38" s="7"/>
      <c r="F38" s="45">
        <f t="shared" si="7"/>
        <v>38800</v>
      </c>
      <c r="G38" s="7">
        <v>71700</v>
      </c>
      <c r="H38" s="7">
        <v>110500</v>
      </c>
      <c r="I38" s="45">
        <f t="shared" si="1"/>
        <v>0</v>
      </c>
      <c r="J38" s="7"/>
      <c r="K38" s="7"/>
      <c r="L38" s="45">
        <f t="shared" si="2"/>
        <v>0</v>
      </c>
      <c r="M38" s="7"/>
      <c r="N38" s="7"/>
      <c r="O38" s="45">
        <f t="shared" si="3"/>
        <v>0</v>
      </c>
      <c r="P38" s="7"/>
      <c r="Q38" s="7"/>
      <c r="R38" s="45">
        <f t="shared" si="4"/>
        <v>0</v>
      </c>
      <c r="S38" s="7"/>
      <c r="T38" s="7"/>
      <c r="U38" s="45">
        <f t="shared" si="5"/>
        <v>0</v>
      </c>
      <c r="V38" s="7"/>
      <c r="W38" s="7"/>
      <c r="X38" s="45">
        <f t="shared" si="6"/>
        <v>0</v>
      </c>
    </row>
    <row r="39" spans="1:24" s="37" customFormat="1" x14ac:dyDescent="0.2">
      <c r="A39" s="340" t="s">
        <v>255</v>
      </c>
      <c r="B39" s="288" t="s">
        <v>312</v>
      </c>
      <c r="C39" s="361" t="s">
        <v>366</v>
      </c>
      <c r="D39" s="45"/>
      <c r="E39" s="45"/>
      <c r="F39" s="45">
        <f t="shared" si="7"/>
        <v>0</v>
      </c>
      <c r="G39" s="45"/>
      <c r="H39" s="45"/>
      <c r="I39" s="45">
        <f t="shared" si="1"/>
        <v>0</v>
      </c>
      <c r="J39" s="45"/>
      <c r="K39" s="45"/>
      <c r="L39" s="45">
        <f t="shared" si="2"/>
        <v>0</v>
      </c>
      <c r="M39" s="45"/>
      <c r="N39" s="45"/>
      <c r="O39" s="45">
        <f t="shared" si="3"/>
        <v>0</v>
      </c>
      <c r="P39" s="45"/>
      <c r="Q39" s="45"/>
      <c r="R39" s="45">
        <f t="shared" si="4"/>
        <v>0</v>
      </c>
      <c r="S39" s="45"/>
      <c r="T39" s="45"/>
      <c r="U39" s="45">
        <f t="shared" si="5"/>
        <v>0</v>
      </c>
      <c r="V39" s="45"/>
      <c r="W39" s="45"/>
      <c r="X39" s="45">
        <f t="shared" si="6"/>
        <v>0</v>
      </c>
    </row>
    <row r="40" spans="1:24" s="8" customFormat="1" x14ac:dyDescent="0.2">
      <c r="A40" s="341" t="s">
        <v>27</v>
      </c>
      <c r="B40" s="352" t="s">
        <v>311</v>
      </c>
      <c r="C40" s="353" t="s">
        <v>311</v>
      </c>
      <c r="D40" s="342">
        <f t="shared" ref="D40:W40" si="12">SUBTOTAL(9,D27:D39)</f>
        <v>440428</v>
      </c>
      <c r="E40" s="342">
        <f t="shared" si="12"/>
        <v>17855</v>
      </c>
      <c r="F40" s="365">
        <f t="shared" si="7"/>
        <v>422573</v>
      </c>
      <c r="G40" s="342">
        <f t="shared" si="12"/>
        <v>799230</v>
      </c>
      <c r="H40" s="342">
        <f t="shared" si="12"/>
        <v>605070</v>
      </c>
      <c r="I40" s="365">
        <f t="shared" si="1"/>
        <v>616733</v>
      </c>
      <c r="J40" s="342">
        <f t="shared" si="12"/>
        <v>786427</v>
      </c>
      <c r="K40" s="342">
        <f t="shared" si="12"/>
        <v>931500</v>
      </c>
      <c r="L40" s="365">
        <f t="shared" si="2"/>
        <v>471660</v>
      </c>
      <c r="M40" s="342">
        <f t="shared" si="12"/>
        <v>0</v>
      </c>
      <c r="N40" s="342">
        <f t="shared" si="12"/>
        <v>471660</v>
      </c>
      <c r="O40" s="365">
        <f t="shared" si="3"/>
        <v>0</v>
      </c>
      <c r="P40" s="342">
        <f t="shared" si="12"/>
        <v>0</v>
      </c>
      <c r="Q40" s="342">
        <f t="shared" si="12"/>
        <v>0</v>
      </c>
      <c r="R40" s="365">
        <f t="shared" si="4"/>
        <v>0</v>
      </c>
      <c r="S40" s="342">
        <f t="shared" si="12"/>
        <v>0</v>
      </c>
      <c r="T40" s="342">
        <f t="shared" si="12"/>
        <v>0</v>
      </c>
      <c r="U40" s="365">
        <f t="shared" si="5"/>
        <v>0</v>
      </c>
      <c r="V40" s="342">
        <f t="shared" si="12"/>
        <v>0</v>
      </c>
      <c r="W40" s="342">
        <f t="shared" si="12"/>
        <v>0</v>
      </c>
      <c r="X40" s="365">
        <f t="shared" si="6"/>
        <v>0</v>
      </c>
    </row>
    <row r="41" spans="1:24" s="37" customFormat="1" x14ac:dyDescent="0.2">
      <c r="A41" s="343" t="s">
        <v>388</v>
      </c>
      <c r="B41" s="288"/>
      <c r="C41" s="361" t="s">
        <v>366</v>
      </c>
      <c r="D41" s="45"/>
      <c r="E41" s="45"/>
      <c r="F41" s="45">
        <f t="shared" si="7"/>
        <v>0</v>
      </c>
      <c r="G41" s="45">
        <v>5500</v>
      </c>
      <c r="H41" s="45">
        <v>5525</v>
      </c>
      <c r="I41" s="45">
        <f t="shared" si="1"/>
        <v>-25</v>
      </c>
      <c r="J41" s="45">
        <v>6500</v>
      </c>
      <c r="K41" s="45">
        <v>6475</v>
      </c>
      <c r="L41" s="45">
        <f t="shared" si="2"/>
        <v>0</v>
      </c>
      <c r="M41" s="45"/>
      <c r="N41" s="45"/>
      <c r="O41" s="45">
        <f t="shared" si="3"/>
        <v>0</v>
      </c>
      <c r="P41" s="45"/>
      <c r="Q41" s="45"/>
      <c r="R41" s="45">
        <f t="shared" si="4"/>
        <v>0</v>
      </c>
      <c r="S41" s="45"/>
      <c r="T41" s="45"/>
      <c r="U41" s="45">
        <f t="shared" si="5"/>
        <v>0</v>
      </c>
      <c r="V41" s="45"/>
      <c r="W41" s="45"/>
      <c r="X41" s="45">
        <f t="shared" si="6"/>
        <v>0</v>
      </c>
    </row>
    <row r="42" spans="1:24" s="37" customFormat="1" x14ac:dyDescent="0.2">
      <c r="A42" s="343" t="s">
        <v>389</v>
      </c>
      <c r="B42" s="288"/>
      <c r="C42" s="361" t="s">
        <v>366</v>
      </c>
      <c r="D42" s="45"/>
      <c r="E42" s="45"/>
      <c r="F42" s="45">
        <f t="shared" si="7"/>
        <v>0</v>
      </c>
      <c r="G42" s="45">
        <v>5500</v>
      </c>
      <c r="H42" s="45">
        <v>5525</v>
      </c>
      <c r="I42" s="45">
        <f t="shared" si="1"/>
        <v>-25</v>
      </c>
      <c r="J42" s="45">
        <v>6500</v>
      </c>
      <c r="K42" s="45">
        <v>6475</v>
      </c>
      <c r="L42" s="45">
        <f t="shared" si="2"/>
        <v>0</v>
      </c>
      <c r="M42" s="45"/>
      <c r="N42" s="45"/>
      <c r="O42" s="45">
        <f t="shared" si="3"/>
        <v>0</v>
      </c>
      <c r="P42" s="45"/>
      <c r="Q42" s="45"/>
      <c r="R42" s="45">
        <f t="shared" si="4"/>
        <v>0</v>
      </c>
      <c r="S42" s="45"/>
      <c r="T42" s="45"/>
      <c r="U42" s="45">
        <f t="shared" si="5"/>
        <v>0</v>
      </c>
      <c r="V42" s="45"/>
      <c r="W42" s="45"/>
      <c r="X42" s="45">
        <f t="shared" si="6"/>
        <v>0</v>
      </c>
    </row>
    <row r="43" spans="1:24" s="8" customFormat="1" x14ac:dyDescent="0.2">
      <c r="A43" s="341" t="s">
        <v>387</v>
      </c>
      <c r="B43" s="352" t="s">
        <v>311</v>
      </c>
      <c r="C43" s="353" t="s">
        <v>311</v>
      </c>
      <c r="D43" s="342">
        <f t="shared" ref="D43:W43" si="13">SUBTOTAL(9,D41:D42)</f>
        <v>0</v>
      </c>
      <c r="E43" s="342">
        <f t="shared" si="13"/>
        <v>0</v>
      </c>
      <c r="F43" s="365">
        <f t="shared" si="7"/>
        <v>0</v>
      </c>
      <c r="G43" s="342">
        <f t="shared" si="13"/>
        <v>11000</v>
      </c>
      <c r="H43" s="342">
        <f t="shared" si="13"/>
        <v>11050</v>
      </c>
      <c r="I43" s="365">
        <f t="shared" si="1"/>
        <v>-50</v>
      </c>
      <c r="J43" s="342">
        <f t="shared" si="13"/>
        <v>13000</v>
      </c>
      <c r="K43" s="342">
        <f t="shared" si="13"/>
        <v>12950</v>
      </c>
      <c r="L43" s="365">
        <f t="shared" si="2"/>
        <v>0</v>
      </c>
      <c r="M43" s="342">
        <f t="shared" si="13"/>
        <v>0</v>
      </c>
      <c r="N43" s="342">
        <f t="shared" si="13"/>
        <v>0</v>
      </c>
      <c r="O43" s="365">
        <f t="shared" si="3"/>
        <v>0</v>
      </c>
      <c r="P43" s="342">
        <f t="shared" si="13"/>
        <v>0</v>
      </c>
      <c r="Q43" s="342">
        <f t="shared" si="13"/>
        <v>0</v>
      </c>
      <c r="R43" s="365">
        <f t="shared" si="4"/>
        <v>0</v>
      </c>
      <c r="S43" s="342">
        <f t="shared" si="13"/>
        <v>0</v>
      </c>
      <c r="T43" s="342">
        <f t="shared" si="13"/>
        <v>0</v>
      </c>
      <c r="U43" s="365">
        <f t="shared" si="5"/>
        <v>0</v>
      </c>
      <c r="V43" s="342">
        <f t="shared" si="13"/>
        <v>0</v>
      </c>
      <c r="W43" s="342">
        <f t="shared" si="13"/>
        <v>0</v>
      </c>
      <c r="X43" s="365">
        <f t="shared" si="6"/>
        <v>0</v>
      </c>
    </row>
    <row r="44" spans="1:24" s="37" customFormat="1" x14ac:dyDescent="0.2">
      <c r="A44" s="343" t="s">
        <v>252</v>
      </c>
      <c r="B44" s="288" t="s">
        <v>305</v>
      </c>
      <c r="C44" s="361" t="s">
        <v>366</v>
      </c>
      <c r="D44" s="45">
        <v>17500</v>
      </c>
      <c r="E44" s="45"/>
      <c r="F44" s="45">
        <f t="shared" si="7"/>
        <v>17500</v>
      </c>
      <c r="G44" s="45">
        <v>10000</v>
      </c>
      <c r="H44" s="45">
        <v>27500</v>
      </c>
      <c r="I44" s="45">
        <f t="shared" si="1"/>
        <v>0</v>
      </c>
      <c r="J44" s="45"/>
      <c r="K44" s="45"/>
      <c r="L44" s="45">
        <f t="shared" si="2"/>
        <v>0</v>
      </c>
      <c r="M44" s="45"/>
      <c r="N44" s="45"/>
      <c r="O44" s="45">
        <f t="shared" si="3"/>
        <v>0</v>
      </c>
      <c r="P44" s="45"/>
      <c r="Q44" s="45"/>
      <c r="R44" s="45">
        <f t="shared" si="4"/>
        <v>0</v>
      </c>
      <c r="S44" s="45"/>
      <c r="T44" s="45"/>
      <c r="U44" s="45">
        <f t="shared" si="5"/>
        <v>0</v>
      </c>
      <c r="V44" s="45"/>
      <c r="W44" s="45"/>
      <c r="X44" s="45">
        <f t="shared" si="6"/>
        <v>0</v>
      </c>
    </row>
    <row r="45" spans="1:24" s="37" customFormat="1" x14ac:dyDescent="0.2">
      <c r="A45" s="343" t="s">
        <v>390</v>
      </c>
      <c r="B45" s="288"/>
      <c r="C45" s="361" t="s">
        <v>366</v>
      </c>
      <c r="D45" s="45">
        <v>12000</v>
      </c>
      <c r="E45" s="45"/>
      <c r="F45" s="45">
        <f t="shared" si="7"/>
        <v>12000</v>
      </c>
      <c r="G45" s="45">
        <v>20000</v>
      </c>
      <c r="H45" s="45"/>
      <c r="I45" s="45">
        <f t="shared" si="1"/>
        <v>32000</v>
      </c>
      <c r="J45" s="45"/>
      <c r="K45" s="45">
        <v>32000</v>
      </c>
      <c r="L45" s="45">
        <f t="shared" si="2"/>
        <v>0</v>
      </c>
      <c r="M45" s="45"/>
      <c r="N45" s="45"/>
      <c r="O45" s="45">
        <f t="shared" si="3"/>
        <v>0</v>
      </c>
      <c r="P45" s="45"/>
      <c r="Q45" s="45"/>
      <c r="R45" s="45">
        <f t="shared" si="4"/>
        <v>0</v>
      </c>
      <c r="S45" s="45"/>
      <c r="T45" s="45"/>
      <c r="U45" s="45">
        <f t="shared" si="5"/>
        <v>0</v>
      </c>
      <c r="V45" s="45"/>
      <c r="W45" s="45"/>
      <c r="X45" s="45">
        <f t="shared" si="6"/>
        <v>0</v>
      </c>
    </row>
    <row r="46" spans="1:24" s="37" customFormat="1" x14ac:dyDescent="0.2">
      <c r="A46" s="343" t="s">
        <v>391</v>
      </c>
      <c r="B46" s="288"/>
      <c r="C46" s="361" t="s">
        <v>366</v>
      </c>
      <c r="D46" s="45">
        <v>20000</v>
      </c>
      <c r="E46" s="45"/>
      <c r="F46" s="45">
        <f t="shared" si="7"/>
        <v>20000</v>
      </c>
      <c r="G46" s="45">
        <v>31000</v>
      </c>
      <c r="H46" s="45">
        <v>20000</v>
      </c>
      <c r="I46" s="45">
        <f t="shared" si="1"/>
        <v>31000</v>
      </c>
      <c r="J46" s="45"/>
      <c r="K46" s="45">
        <v>31000</v>
      </c>
      <c r="L46" s="45">
        <f t="shared" si="2"/>
        <v>0</v>
      </c>
      <c r="M46" s="45"/>
      <c r="N46" s="45"/>
      <c r="O46" s="45">
        <f t="shared" si="3"/>
        <v>0</v>
      </c>
      <c r="P46" s="45"/>
      <c r="Q46" s="45"/>
      <c r="R46" s="45">
        <f t="shared" si="4"/>
        <v>0</v>
      </c>
      <c r="S46" s="45"/>
      <c r="T46" s="45"/>
      <c r="U46" s="45">
        <f t="shared" si="5"/>
        <v>0</v>
      </c>
      <c r="V46" s="45"/>
      <c r="W46" s="45"/>
      <c r="X46" s="45">
        <f t="shared" si="6"/>
        <v>0</v>
      </c>
    </row>
    <row r="47" spans="1:24" x14ac:dyDescent="0.2">
      <c r="A47" s="344" t="s">
        <v>326</v>
      </c>
      <c r="B47" s="294">
        <v>3541</v>
      </c>
      <c r="C47" s="361" t="s">
        <v>366</v>
      </c>
      <c r="D47" s="7">
        <v>31000</v>
      </c>
      <c r="E47" s="7"/>
      <c r="F47" s="45">
        <f t="shared" si="7"/>
        <v>31000</v>
      </c>
      <c r="G47" s="7">
        <v>126000</v>
      </c>
      <c r="H47" s="7">
        <v>61000</v>
      </c>
      <c r="I47" s="45">
        <f t="shared" si="1"/>
        <v>96000</v>
      </c>
      <c r="J47" s="7">
        <v>82000</v>
      </c>
      <c r="K47" s="7">
        <v>100000</v>
      </c>
      <c r="L47" s="45">
        <f t="shared" si="2"/>
        <v>78000</v>
      </c>
      <c r="M47" s="7"/>
      <c r="N47" s="7">
        <v>78000</v>
      </c>
      <c r="O47" s="45">
        <f t="shared" si="3"/>
        <v>0</v>
      </c>
      <c r="P47" s="7"/>
      <c r="Q47" s="7"/>
      <c r="R47" s="45">
        <f t="shared" si="4"/>
        <v>0</v>
      </c>
      <c r="S47" s="7"/>
      <c r="T47" s="7"/>
      <c r="U47" s="45">
        <f t="shared" si="5"/>
        <v>0</v>
      </c>
      <c r="V47" s="7"/>
      <c r="W47" s="7"/>
      <c r="X47" s="45">
        <f t="shared" si="6"/>
        <v>0</v>
      </c>
    </row>
    <row r="48" spans="1:24" x14ac:dyDescent="0.2">
      <c r="A48" s="344" t="s">
        <v>327</v>
      </c>
      <c r="B48" s="294">
        <v>3543</v>
      </c>
      <c r="C48" s="361" t="s">
        <v>366</v>
      </c>
      <c r="D48" s="7">
        <v>25800</v>
      </c>
      <c r="E48" s="7"/>
      <c r="F48" s="45">
        <f t="shared" si="7"/>
        <v>25800</v>
      </c>
      <c r="G48" s="7">
        <v>53500</v>
      </c>
      <c r="H48" s="7">
        <v>25800</v>
      </c>
      <c r="I48" s="45">
        <f t="shared" si="1"/>
        <v>53500</v>
      </c>
      <c r="J48" s="7"/>
      <c r="K48" s="7">
        <v>53500</v>
      </c>
      <c r="L48" s="45">
        <f t="shared" si="2"/>
        <v>0</v>
      </c>
      <c r="M48" s="7"/>
      <c r="N48" s="7"/>
      <c r="O48" s="45">
        <f t="shared" si="3"/>
        <v>0</v>
      </c>
      <c r="P48" s="7"/>
      <c r="Q48" s="7"/>
      <c r="R48" s="45">
        <f t="shared" si="4"/>
        <v>0</v>
      </c>
      <c r="S48" s="7"/>
      <c r="T48" s="7"/>
      <c r="U48" s="45">
        <f t="shared" si="5"/>
        <v>0</v>
      </c>
      <c r="V48" s="7"/>
      <c r="W48" s="7"/>
      <c r="X48" s="45">
        <f t="shared" si="6"/>
        <v>0</v>
      </c>
    </row>
    <row r="49" spans="1:24" x14ac:dyDescent="0.2">
      <c r="A49" s="344" t="s">
        <v>328</v>
      </c>
      <c r="B49" s="294">
        <v>3544</v>
      </c>
      <c r="C49" s="361" t="s">
        <v>366</v>
      </c>
      <c r="D49" s="7">
        <v>16000</v>
      </c>
      <c r="E49" s="7"/>
      <c r="F49" s="45">
        <f t="shared" si="7"/>
        <v>16000</v>
      </c>
      <c r="G49" s="7">
        <v>11900</v>
      </c>
      <c r="H49" s="7"/>
      <c r="I49" s="45">
        <f t="shared" si="1"/>
        <v>27900</v>
      </c>
      <c r="J49" s="7"/>
      <c r="K49" s="7">
        <v>27900</v>
      </c>
      <c r="L49" s="45">
        <f t="shared" si="2"/>
        <v>0</v>
      </c>
      <c r="M49" s="7"/>
      <c r="N49" s="7"/>
      <c r="O49" s="45">
        <f t="shared" si="3"/>
        <v>0</v>
      </c>
      <c r="P49" s="7"/>
      <c r="Q49" s="7"/>
      <c r="R49" s="45">
        <f t="shared" si="4"/>
        <v>0</v>
      </c>
      <c r="S49" s="7"/>
      <c r="T49" s="7"/>
      <c r="U49" s="45">
        <f t="shared" si="5"/>
        <v>0</v>
      </c>
      <c r="V49" s="7"/>
      <c r="W49" s="7"/>
      <c r="X49" s="45">
        <f t="shared" si="6"/>
        <v>0</v>
      </c>
    </row>
    <row r="50" spans="1:24" x14ac:dyDescent="0.2">
      <c r="A50" s="344" t="s">
        <v>329</v>
      </c>
      <c r="B50" s="294">
        <v>3545</v>
      </c>
      <c r="C50" s="361" t="s">
        <v>366</v>
      </c>
      <c r="D50" s="7">
        <v>3500</v>
      </c>
      <c r="E50" s="7"/>
      <c r="F50" s="45">
        <f t="shared" si="7"/>
        <v>3500</v>
      </c>
      <c r="G50" s="7">
        <v>15500</v>
      </c>
      <c r="H50" s="7"/>
      <c r="I50" s="45">
        <f t="shared" si="1"/>
        <v>19000</v>
      </c>
      <c r="J50" s="7">
        <v>4500</v>
      </c>
      <c r="K50" s="7">
        <v>23500</v>
      </c>
      <c r="L50" s="45">
        <f t="shared" si="2"/>
        <v>0</v>
      </c>
      <c r="M50" s="7"/>
      <c r="N50" s="7"/>
      <c r="O50" s="45">
        <f t="shared" si="3"/>
        <v>0</v>
      </c>
      <c r="P50" s="7"/>
      <c r="Q50" s="7"/>
      <c r="R50" s="45">
        <f t="shared" si="4"/>
        <v>0</v>
      </c>
      <c r="S50" s="7"/>
      <c r="T50" s="7"/>
      <c r="U50" s="45">
        <f t="shared" si="5"/>
        <v>0</v>
      </c>
      <c r="V50" s="7"/>
      <c r="W50" s="7"/>
      <c r="X50" s="45">
        <f t="shared" si="6"/>
        <v>0</v>
      </c>
    </row>
    <row r="51" spans="1:24" x14ac:dyDescent="0.2">
      <c r="A51" s="344" t="s">
        <v>357</v>
      </c>
      <c r="B51" s="294">
        <v>3560</v>
      </c>
      <c r="C51" s="361" t="s">
        <v>366</v>
      </c>
      <c r="D51" s="7"/>
      <c r="E51" s="7"/>
      <c r="F51" s="45">
        <f t="shared" si="7"/>
        <v>0</v>
      </c>
      <c r="G51" s="7"/>
      <c r="H51" s="7"/>
      <c r="I51" s="45">
        <f t="shared" si="1"/>
        <v>0</v>
      </c>
      <c r="J51" s="7"/>
      <c r="K51" s="7"/>
      <c r="L51" s="45">
        <f t="shared" si="2"/>
        <v>0</v>
      </c>
      <c r="M51" s="7"/>
      <c r="N51" s="7"/>
      <c r="O51" s="45">
        <f t="shared" si="3"/>
        <v>0</v>
      </c>
      <c r="P51" s="7"/>
      <c r="Q51" s="7"/>
      <c r="R51" s="45">
        <f t="shared" si="4"/>
        <v>0</v>
      </c>
      <c r="S51" s="7"/>
      <c r="T51" s="7"/>
      <c r="U51" s="45">
        <f t="shared" si="5"/>
        <v>0</v>
      </c>
      <c r="V51" s="7"/>
      <c r="W51" s="7"/>
      <c r="X51" s="45">
        <f t="shared" si="6"/>
        <v>0</v>
      </c>
    </row>
    <row r="52" spans="1:24" x14ac:dyDescent="0.2">
      <c r="A52" s="344" t="s">
        <v>358</v>
      </c>
      <c r="B52" s="294">
        <v>3557</v>
      </c>
      <c r="C52" s="361" t="s">
        <v>366</v>
      </c>
      <c r="D52" s="7">
        <v>6000</v>
      </c>
      <c r="E52" s="7"/>
      <c r="F52" s="45">
        <f t="shared" si="7"/>
        <v>6000</v>
      </c>
      <c r="G52" s="7">
        <v>30500</v>
      </c>
      <c r="H52" s="7">
        <v>10000</v>
      </c>
      <c r="I52" s="45">
        <f t="shared" si="1"/>
        <v>26500</v>
      </c>
      <c r="J52" s="7"/>
      <c r="K52" s="7">
        <v>26500</v>
      </c>
      <c r="L52" s="45">
        <f t="shared" si="2"/>
        <v>0</v>
      </c>
      <c r="M52" s="7"/>
      <c r="N52" s="7"/>
      <c r="O52" s="45">
        <f t="shared" si="3"/>
        <v>0</v>
      </c>
      <c r="P52" s="7"/>
      <c r="Q52" s="7"/>
      <c r="R52" s="45">
        <f t="shared" si="4"/>
        <v>0</v>
      </c>
      <c r="S52" s="7"/>
      <c r="T52" s="7"/>
      <c r="U52" s="45">
        <f t="shared" si="5"/>
        <v>0</v>
      </c>
      <c r="V52" s="7"/>
      <c r="W52" s="7"/>
      <c r="X52" s="45">
        <f t="shared" si="6"/>
        <v>0</v>
      </c>
    </row>
    <row r="53" spans="1:24" s="8" customFormat="1" x14ac:dyDescent="0.2">
      <c r="A53" s="341" t="s">
        <v>30</v>
      </c>
      <c r="B53" s="352" t="s">
        <v>311</v>
      </c>
      <c r="C53" s="353" t="s">
        <v>311</v>
      </c>
      <c r="D53" s="342">
        <f t="shared" ref="D53:W53" si="14">SUBTOTAL(9,D44:D52)</f>
        <v>131800</v>
      </c>
      <c r="E53" s="342">
        <f t="shared" si="14"/>
        <v>0</v>
      </c>
      <c r="F53" s="365">
        <f t="shared" si="7"/>
        <v>131800</v>
      </c>
      <c r="G53" s="342">
        <f t="shared" si="14"/>
        <v>298400</v>
      </c>
      <c r="H53" s="342">
        <f t="shared" si="14"/>
        <v>144300</v>
      </c>
      <c r="I53" s="365">
        <f t="shared" si="1"/>
        <v>285900</v>
      </c>
      <c r="J53" s="342">
        <f t="shared" si="14"/>
        <v>86500</v>
      </c>
      <c r="K53" s="342">
        <f t="shared" si="14"/>
        <v>294400</v>
      </c>
      <c r="L53" s="365">
        <f t="shared" si="2"/>
        <v>78000</v>
      </c>
      <c r="M53" s="342">
        <f t="shared" si="14"/>
        <v>0</v>
      </c>
      <c r="N53" s="342">
        <f t="shared" si="14"/>
        <v>78000</v>
      </c>
      <c r="O53" s="365">
        <f t="shared" si="3"/>
        <v>0</v>
      </c>
      <c r="P53" s="342">
        <f t="shared" si="14"/>
        <v>0</v>
      </c>
      <c r="Q53" s="342">
        <f t="shared" si="14"/>
        <v>0</v>
      </c>
      <c r="R53" s="365">
        <f t="shared" si="4"/>
        <v>0</v>
      </c>
      <c r="S53" s="342">
        <f t="shared" si="14"/>
        <v>0</v>
      </c>
      <c r="T53" s="342">
        <f t="shared" si="14"/>
        <v>0</v>
      </c>
      <c r="U53" s="365">
        <f t="shared" si="5"/>
        <v>0</v>
      </c>
      <c r="V53" s="342">
        <f t="shared" si="14"/>
        <v>0</v>
      </c>
      <c r="W53" s="342">
        <f t="shared" si="14"/>
        <v>0</v>
      </c>
      <c r="X53" s="365">
        <f t="shared" si="6"/>
        <v>0</v>
      </c>
    </row>
    <row r="54" spans="1:24" s="37" customFormat="1" x14ac:dyDescent="0.2">
      <c r="A54" s="340" t="s">
        <v>315</v>
      </c>
      <c r="B54" s="288" t="s">
        <v>333</v>
      </c>
      <c r="C54" s="361" t="s">
        <v>366</v>
      </c>
      <c r="D54" s="45">
        <v>8600</v>
      </c>
      <c r="E54" s="45"/>
      <c r="F54" s="45">
        <f t="shared" si="7"/>
        <v>8600</v>
      </c>
      <c r="G54" s="45"/>
      <c r="H54" s="45">
        <v>8600</v>
      </c>
      <c r="I54" s="45">
        <f t="shared" si="1"/>
        <v>0</v>
      </c>
      <c r="J54" s="45"/>
      <c r="K54" s="45"/>
      <c r="L54" s="45">
        <f t="shared" si="2"/>
        <v>0</v>
      </c>
      <c r="M54" s="45"/>
      <c r="N54" s="45"/>
      <c r="O54" s="45">
        <f t="shared" si="3"/>
        <v>0</v>
      </c>
      <c r="P54" s="45"/>
      <c r="Q54" s="45"/>
      <c r="R54" s="45">
        <f t="shared" si="4"/>
        <v>0</v>
      </c>
      <c r="S54" s="45"/>
      <c r="T54" s="45"/>
      <c r="U54" s="45">
        <f t="shared" si="5"/>
        <v>0</v>
      </c>
      <c r="V54" s="45"/>
      <c r="W54" s="45"/>
      <c r="X54" s="45">
        <f t="shared" si="6"/>
        <v>0</v>
      </c>
    </row>
    <row r="55" spans="1:24" s="37" customFormat="1" x14ac:dyDescent="0.2">
      <c r="A55" s="340" t="s">
        <v>368</v>
      </c>
      <c r="B55" s="288" t="s">
        <v>367</v>
      </c>
      <c r="C55" s="361" t="s">
        <v>366</v>
      </c>
      <c r="D55" s="45">
        <v>15900</v>
      </c>
      <c r="E55" s="45"/>
      <c r="F55" s="45">
        <f t="shared" si="7"/>
        <v>15900</v>
      </c>
      <c r="G55" s="45">
        <v>110000</v>
      </c>
      <c r="H55" s="45">
        <v>42000</v>
      </c>
      <c r="I55" s="45">
        <f t="shared" si="1"/>
        <v>83900</v>
      </c>
      <c r="J55" s="45">
        <v>240000</v>
      </c>
      <c r="K55" s="45">
        <v>160200</v>
      </c>
      <c r="L55" s="45">
        <f t="shared" si="2"/>
        <v>163700</v>
      </c>
      <c r="M55" s="45">
        <v>254100</v>
      </c>
      <c r="N55" s="45">
        <v>190000</v>
      </c>
      <c r="O55" s="45">
        <f t="shared" si="3"/>
        <v>227800</v>
      </c>
      <c r="P55" s="45"/>
      <c r="Q55" s="45">
        <v>227800</v>
      </c>
      <c r="R55" s="45">
        <f t="shared" si="4"/>
        <v>0</v>
      </c>
      <c r="S55" s="45"/>
      <c r="T55" s="45"/>
      <c r="U55" s="45">
        <f t="shared" si="5"/>
        <v>0</v>
      </c>
      <c r="V55" s="45"/>
      <c r="W55" s="45"/>
      <c r="X55" s="45">
        <f t="shared" si="6"/>
        <v>0</v>
      </c>
    </row>
    <row r="56" spans="1:24" s="37" customFormat="1" x14ac:dyDescent="0.2">
      <c r="A56" s="340" t="s">
        <v>396</v>
      </c>
      <c r="B56" s="288" t="s">
        <v>312</v>
      </c>
      <c r="C56" s="361" t="s">
        <v>366</v>
      </c>
      <c r="D56" s="45"/>
      <c r="E56" s="45"/>
      <c r="F56" s="45">
        <f t="shared" si="7"/>
        <v>0</v>
      </c>
      <c r="G56" s="45">
        <v>52450</v>
      </c>
      <c r="H56" s="45"/>
      <c r="I56" s="45">
        <f t="shared" si="1"/>
        <v>52450</v>
      </c>
      <c r="J56" s="45">
        <v>52450</v>
      </c>
      <c r="K56" s="45">
        <v>52450</v>
      </c>
      <c r="L56" s="45">
        <f t="shared" si="2"/>
        <v>52450</v>
      </c>
      <c r="M56" s="45">
        <v>52450</v>
      </c>
      <c r="N56" s="45">
        <v>52450</v>
      </c>
      <c r="O56" s="45">
        <f t="shared" si="3"/>
        <v>52450</v>
      </c>
      <c r="P56" s="45">
        <v>52450</v>
      </c>
      <c r="Q56" s="45">
        <v>52450</v>
      </c>
      <c r="R56" s="45">
        <f t="shared" si="4"/>
        <v>52450</v>
      </c>
      <c r="S56" s="45">
        <v>52450</v>
      </c>
      <c r="T56" s="45">
        <v>52450</v>
      </c>
      <c r="U56" s="45">
        <f t="shared" si="5"/>
        <v>52450</v>
      </c>
      <c r="V56" s="45"/>
      <c r="W56" s="45">
        <v>52450</v>
      </c>
      <c r="X56" s="45">
        <f t="shared" si="6"/>
        <v>0</v>
      </c>
    </row>
    <row r="57" spans="1:24" s="37" customFormat="1" x14ac:dyDescent="0.2">
      <c r="A57" s="340" t="s">
        <v>330</v>
      </c>
      <c r="B57" s="288" t="s">
        <v>334</v>
      </c>
      <c r="C57" s="361" t="s">
        <v>366</v>
      </c>
      <c r="D57" s="45">
        <v>18600</v>
      </c>
      <c r="E57" s="45"/>
      <c r="F57" s="45">
        <f t="shared" si="7"/>
        <v>18600</v>
      </c>
      <c r="G57" s="45">
        <v>28500</v>
      </c>
      <c r="H57" s="45">
        <v>47100</v>
      </c>
      <c r="I57" s="45">
        <f t="shared" si="1"/>
        <v>0</v>
      </c>
      <c r="J57" s="45"/>
      <c r="K57" s="45"/>
      <c r="L57" s="45">
        <f t="shared" si="2"/>
        <v>0</v>
      </c>
      <c r="M57" s="45"/>
      <c r="N57" s="45"/>
      <c r="O57" s="45">
        <f t="shared" si="3"/>
        <v>0</v>
      </c>
      <c r="P57" s="45"/>
      <c r="Q57" s="45"/>
      <c r="R57" s="45">
        <f t="shared" si="4"/>
        <v>0</v>
      </c>
      <c r="S57" s="45"/>
      <c r="T57" s="45"/>
      <c r="U57" s="45">
        <f t="shared" si="5"/>
        <v>0</v>
      </c>
      <c r="V57" s="45"/>
      <c r="W57" s="45"/>
      <c r="X57" s="45">
        <f t="shared" si="6"/>
        <v>0</v>
      </c>
    </row>
    <row r="58" spans="1:24" s="37" customFormat="1" x14ac:dyDescent="0.2">
      <c r="A58" s="340" t="s">
        <v>331</v>
      </c>
      <c r="B58" s="288" t="s">
        <v>335</v>
      </c>
      <c r="C58" s="361" t="s">
        <v>366</v>
      </c>
      <c r="D58" s="45">
        <v>22200</v>
      </c>
      <c r="E58" s="45"/>
      <c r="F58" s="45">
        <f t="shared" si="7"/>
        <v>22200</v>
      </c>
      <c r="G58" s="45">
        <v>40200</v>
      </c>
      <c r="H58" s="45">
        <v>62400</v>
      </c>
      <c r="I58" s="45">
        <f t="shared" si="1"/>
        <v>0</v>
      </c>
      <c r="J58" s="45"/>
      <c r="K58" s="45"/>
      <c r="L58" s="45">
        <f t="shared" si="2"/>
        <v>0</v>
      </c>
      <c r="M58" s="45"/>
      <c r="N58" s="45"/>
      <c r="O58" s="45">
        <f t="shared" si="3"/>
        <v>0</v>
      </c>
      <c r="P58" s="45"/>
      <c r="Q58" s="45"/>
      <c r="R58" s="45">
        <f t="shared" si="4"/>
        <v>0</v>
      </c>
      <c r="S58" s="45"/>
      <c r="T58" s="45"/>
      <c r="U58" s="45">
        <f t="shared" si="5"/>
        <v>0</v>
      </c>
      <c r="V58" s="45"/>
      <c r="W58" s="45"/>
      <c r="X58" s="45">
        <f t="shared" si="6"/>
        <v>0</v>
      </c>
    </row>
    <row r="59" spans="1:24" s="37" customFormat="1" x14ac:dyDescent="0.2">
      <c r="A59" s="340" t="s">
        <v>346</v>
      </c>
      <c r="B59" s="288" t="s">
        <v>347</v>
      </c>
      <c r="C59" s="361" t="s">
        <v>366</v>
      </c>
      <c r="D59" s="45">
        <v>22300</v>
      </c>
      <c r="E59" s="45"/>
      <c r="F59" s="45">
        <f t="shared" si="7"/>
        <v>22300</v>
      </c>
      <c r="G59" s="45">
        <v>35300</v>
      </c>
      <c r="H59" s="45"/>
      <c r="I59" s="45">
        <f t="shared" si="1"/>
        <v>57600</v>
      </c>
      <c r="J59" s="45">
        <v>8000</v>
      </c>
      <c r="K59" s="45">
        <v>65600</v>
      </c>
      <c r="L59" s="45">
        <f t="shared" si="2"/>
        <v>0</v>
      </c>
      <c r="M59" s="45"/>
      <c r="N59" s="45"/>
      <c r="O59" s="45">
        <f t="shared" si="3"/>
        <v>0</v>
      </c>
      <c r="P59" s="45"/>
      <c r="Q59" s="45"/>
      <c r="R59" s="45">
        <f t="shared" si="4"/>
        <v>0</v>
      </c>
      <c r="S59" s="45"/>
      <c r="T59" s="45"/>
      <c r="U59" s="45">
        <f t="shared" si="5"/>
        <v>0</v>
      </c>
      <c r="V59" s="45"/>
      <c r="W59" s="45"/>
      <c r="X59" s="45">
        <f t="shared" si="6"/>
        <v>0</v>
      </c>
    </row>
    <row r="60" spans="1:24" s="37" customFormat="1" x14ac:dyDescent="0.2">
      <c r="A60" s="340" t="s">
        <v>344</v>
      </c>
      <c r="B60" s="288" t="s">
        <v>345</v>
      </c>
      <c r="C60" s="361" t="s">
        <v>366</v>
      </c>
      <c r="D60" s="45">
        <v>42000</v>
      </c>
      <c r="E60" s="45"/>
      <c r="F60" s="45">
        <f t="shared" si="7"/>
        <v>42000</v>
      </c>
      <c r="G60" s="45"/>
      <c r="H60" s="45">
        <v>42000</v>
      </c>
      <c r="I60" s="45">
        <f t="shared" si="1"/>
        <v>0</v>
      </c>
      <c r="J60" s="45"/>
      <c r="K60" s="45"/>
      <c r="L60" s="45">
        <f t="shared" si="2"/>
        <v>0</v>
      </c>
      <c r="M60" s="45"/>
      <c r="N60" s="45"/>
      <c r="O60" s="45">
        <f t="shared" si="3"/>
        <v>0</v>
      </c>
      <c r="P60" s="45"/>
      <c r="Q60" s="45"/>
      <c r="R60" s="45">
        <f t="shared" si="4"/>
        <v>0</v>
      </c>
      <c r="S60" s="45"/>
      <c r="T60" s="45"/>
      <c r="U60" s="45">
        <f t="shared" si="5"/>
        <v>0</v>
      </c>
      <c r="V60" s="45"/>
      <c r="W60" s="45"/>
      <c r="X60" s="45">
        <f t="shared" si="6"/>
        <v>0</v>
      </c>
    </row>
    <row r="61" spans="1:24" s="37" customFormat="1" x14ac:dyDescent="0.2">
      <c r="A61" s="340" t="s">
        <v>332</v>
      </c>
      <c r="B61" s="288" t="s">
        <v>336</v>
      </c>
      <c r="C61" s="361" t="s">
        <v>366</v>
      </c>
      <c r="D61" s="45">
        <v>25000</v>
      </c>
      <c r="E61" s="45"/>
      <c r="F61" s="45">
        <f t="shared" si="7"/>
        <v>25000</v>
      </c>
      <c r="G61" s="45">
        <v>22800</v>
      </c>
      <c r="H61" s="45">
        <v>47800</v>
      </c>
      <c r="I61" s="45">
        <f t="shared" si="1"/>
        <v>0</v>
      </c>
      <c r="J61" s="45"/>
      <c r="K61" s="45"/>
      <c r="L61" s="45">
        <f t="shared" si="2"/>
        <v>0</v>
      </c>
      <c r="M61" s="45"/>
      <c r="N61" s="45"/>
      <c r="O61" s="45">
        <f t="shared" si="3"/>
        <v>0</v>
      </c>
      <c r="P61" s="45"/>
      <c r="Q61" s="45"/>
      <c r="R61" s="45">
        <f t="shared" si="4"/>
        <v>0</v>
      </c>
      <c r="S61" s="45"/>
      <c r="T61" s="45"/>
      <c r="U61" s="45">
        <f t="shared" si="5"/>
        <v>0</v>
      </c>
      <c r="V61" s="45"/>
      <c r="W61" s="45"/>
      <c r="X61" s="45">
        <f t="shared" si="6"/>
        <v>0</v>
      </c>
    </row>
    <row r="62" spans="1:24" s="37" customFormat="1" x14ac:dyDescent="0.2">
      <c r="A62" s="340" t="s">
        <v>392</v>
      </c>
      <c r="B62" s="288" t="s">
        <v>394</v>
      </c>
      <c r="C62" s="361" t="s">
        <v>366</v>
      </c>
      <c r="D62" s="45"/>
      <c r="E62" s="45"/>
      <c r="F62" s="45">
        <f t="shared" si="7"/>
        <v>0</v>
      </c>
      <c r="G62" s="45">
        <v>18000</v>
      </c>
      <c r="H62" s="45"/>
      <c r="I62" s="45">
        <f t="shared" si="1"/>
        <v>18000</v>
      </c>
      <c r="J62" s="45">
        <v>14000</v>
      </c>
      <c r="K62" s="45">
        <v>18000</v>
      </c>
      <c r="L62" s="45">
        <f t="shared" si="2"/>
        <v>14000</v>
      </c>
      <c r="M62" s="45"/>
      <c r="N62" s="45">
        <v>14000</v>
      </c>
      <c r="O62" s="45">
        <f t="shared" si="3"/>
        <v>0</v>
      </c>
      <c r="P62" s="45"/>
      <c r="Q62" s="45"/>
      <c r="R62" s="45">
        <f t="shared" si="4"/>
        <v>0</v>
      </c>
      <c r="S62" s="45"/>
      <c r="T62" s="45"/>
      <c r="U62" s="45">
        <f t="shared" si="5"/>
        <v>0</v>
      </c>
      <c r="V62" s="45"/>
      <c r="W62" s="45"/>
      <c r="X62" s="45">
        <f t="shared" si="6"/>
        <v>0</v>
      </c>
    </row>
    <row r="63" spans="1:24" s="37" customFormat="1" ht="15" customHeight="1" x14ac:dyDescent="0.2">
      <c r="A63" s="340" t="s">
        <v>393</v>
      </c>
      <c r="B63" s="288" t="s">
        <v>395</v>
      </c>
      <c r="C63" s="361" t="s">
        <v>366</v>
      </c>
      <c r="D63" s="45"/>
      <c r="E63" s="45"/>
      <c r="F63" s="45">
        <f t="shared" si="7"/>
        <v>0</v>
      </c>
      <c r="G63" s="45">
        <v>8300</v>
      </c>
      <c r="H63" s="45"/>
      <c r="I63" s="45">
        <f t="shared" si="1"/>
        <v>8300</v>
      </c>
      <c r="J63" s="45">
        <v>7400</v>
      </c>
      <c r="K63" s="45">
        <v>8300</v>
      </c>
      <c r="L63" s="45">
        <f t="shared" si="2"/>
        <v>7400</v>
      </c>
      <c r="M63" s="45"/>
      <c r="N63" s="45">
        <v>7400</v>
      </c>
      <c r="O63" s="45">
        <f t="shared" si="3"/>
        <v>0</v>
      </c>
      <c r="P63" s="45"/>
      <c r="Q63" s="45"/>
      <c r="R63" s="45">
        <f t="shared" si="4"/>
        <v>0</v>
      </c>
      <c r="S63" s="45"/>
      <c r="T63" s="45"/>
      <c r="U63" s="45">
        <f t="shared" si="5"/>
        <v>0</v>
      </c>
      <c r="V63" s="45"/>
      <c r="W63" s="45"/>
      <c r="X63" s="45">
        <f t="shared" si="6"/>
        <v>0</v>
      </c>
    </row>
    <row r="64" spans="1:24" s="37" customFormat="1" x14ac:dyDescent="0.2">
      <c r="A64" s="340" t="s">
        <v>342</v>
      </c>
      <c r="B64" s="288" t="s">
        <v>359</v>
      </c>
      <c r="C64" s="361" t="s">
        <v>366</v>
      </c>
      <c r="D64" s="45"/>
      <c r="E64" s="45"/>
      <c r="F64" s="45">
        <f t="shared" si="7"/>
        <v>0</v>
      </c>
      <c r="G64" s="45"/>
      <c r="H64" s="45"/>
      <c r="I64" s="45">
        <f t="shared" si="1"/>
        <v>0</v>
      </c>
      <c r="J64" s="45"/>
      <c r="K64" s="45"/>
      <c r="L64" s="45">
        <f t="shared" si="2"/>
        <v>0</v>
      </c>
      <c r="M64" s="45"/>
      <c r="N64" s="45"/>
      <c r="O64" s="45">
        <f t="shared" si="3"/>
        <v>0</v>
      </c>
      <c r="P64" s="45"/>
      <c r="Q64" s="45"/>
      <c r="R64" s="45">
        <f t="shared" si="4"/>
        <v>0</v>
      </c>
      <c r="S64" s="45"/>
      <c r="T64" s="45"/>
      <c r="U64" s="45">
        <f t="shared" si="5"/>
        <v>0</v>
      </c>
      <c r="V64" s="45"/>
      <c r="W64" s="45"/>
      <c r="X64" s="45">
        <f t="shared" si="6"/>
        <v>0</v>
      </c>
    </row>
    <row r="65" spans="1:24" s="37" customFormat="1" x14ac:dyDescent="0.2">
      <c r="A65" s="340" t="s">
        <v>343</v>
      </c>
      <c r="B65" s="288" t="s">
        <v>360</v>
      </c>
      <c r="C65" s="361" t="s">
        <v>366</v>
      </c>
      <c r="D65" s="45"/>
      <c r="E65" s="45"/>
      <c r="F65" s="45">
        <f t="shared" si="7"/>
        <v>0</v>
      </c>
      <c r="G65" s="45"/>
      <c r="H65" s="45"/>
      <c r="I65" s="45">
        <f t="shared" si="1"/>
        <v>0</v>
      </c>
      <c r="J65" s="45"/>
      <c r="K65" s="45"/>
      <c r="L65" s="45">
        <f t="shared" si="2"/>
        <v>0</v>
      </c>
      <c r="M65" s="45"/>
      <c r="N65" s="45"/>
      <c r="O65" s="45">
        <f t="shared" si="3"/>
        <v>0</v>
      </c>
      <c r="P65" s="45"/>
      <c r="Q65" s="45"/>
      <c r="R65" s="45">
        <f t="shared" si="4"/>
        <v>0</v>
      </c>
      <c r="S65" s="45"/>
      <c r="T65" s="45"/>
      <c r="U65" s="45">
        <f t="shared" si="5"/>
        <v>0</v>
      </c>
      <c r="V65" s="45"/>
      <c r="W65" s="45"/>
      <c r="X65" s="45">
        <f t="shared" si="6"/>
        <v>0</v>
      </c>
    </row>
    <row r="66" spans="1:24" x14ac:dyDescent="0.2">
      <c r="A66" s="339" t="s">
        <v>240</v>
      </c>
      <c r="B66" s="294">
        <v>5999</v>
      </c>
      <c r="C66" s="361" t="s">
        <v>366</v>
      </c>
      <c r="D66" s="7">
        <v>30017</v>
      </c>
      <c r="E66" s="7"/>
      <c r="F66" s="45">
        <f t="shared" si="7"/>
        <v>30017</v>
      </c>
      <c r="G66" s="7"/>
      <c r="H66" s="7">
        <v>30017</v>
      </c>
      <c r="I66" s="45">
        <f t="shared" si="1"/>
        <v>0</v>
      </c>
      <c r="J66" s="7"/>
      <c r="K66" s="7"/>
      <c r="L66" s="45">
        <f t="shared" si="2"/>
        <v>0</v>
      </c>
      <c r="M66" s="7"/>
      <c r="N66" s="7"/>
      <c r="O66" s="45">
        <f t="shared" si="3"/>
        <v>0</v>
      </c>
      <c r="P66" s="7"/>
      <c r="Q66" s="7"/>
      <c r="R66" s="45">
        <f t="shared" si="4"/>
        <v>0</v>
      </c>
      <c r="S66" s="7"/>
      <c r="T66" s="7"/>
      <c r="U66" s="45">
        <f t="shared" si="5"/>
        <v>0</v>
      </c>
      <c r="V66" s="7"/>
      <c r="W66" s="7"/>
      <c r="X66" s="45">
        <f t="shared" si="6"/>
        <v>0</v>
      </c>
    </row>
    <row r="67" spans="1:24" x14ac:dyDescent="0.2">
      <c r="A67" s="339" t="s">
        <v>349</v>
      </c>
      <c r="B67" s="294">
        <v>4264</v>
      </c>
      <c r="C67" s="361" t="s">
        <v>366</v>
      </c>
      <c r="D67" s="7"/>
      <c r="E67" s="7"/>
      <c r="F67" s="45">
        <f t="shared" si="7"/>
        <v>0</v>
      </c>
      <c r="G67" s="7">
        <v>89999</v>
      </c>
      <c r="H67" s="7"/>
      <c r="I67" s="45">
        <f t="shared" si="1"/>
        <v>89999</v>
      </c>
      <c r="J67" s="7"/>
      <c r="K67" s="7">
        <v>89999</v>
      </c>
      <c r="L67" s="45">
        <f t="shared" si="2"/>
        <v>0</v>
      </c>
      <c r="M67" s="7"/>
      <c r="N67" s="7"/>
      <c r="O67" s="45">
        <f t="shared" si="3"/>
        <v>0</v>
      </c>
      <c r="P67" s="7"/>
      <c r="Q67" s="7"/>
      <c r="R67" s="45">
        <f t="shared" si="4"/>
        <v>0</v>
      </c>
      <c r="S67" s="7"/>
      <c r="T67" s="7"/>
      <c r="U67" s="45">
        <f t="shared" si="5"/>
        <v>0</v>
      </c>
      <c r="V67" s="7"/>
      <c r="W67" s="7"/>
      <c r="X67" s="45">
        <f t="shared" si="6"/>
        <v>0</v>
      </c>
    </row>
    <row r="68" spans="1:24" s="8" customFormat="1" x14ac:dyDescent="0.2">
      <c r="A68" s="341" t="s">
        <v>28</v>
      </c>
      <c r="B68" s="352" t="s">
        <v>311</v>
      </c>
      <c r="C68" s="353" t="s">
        <v>311</v>
      </c>
      <c r="D68" s="342">
        <f t="shared" ref="D68:W68" si="15">SUBTOTAL(9,D54:D67)</f>
        <v>184617</v>
      </c>
      <c r="E68" s="342">
        <f t="shared" si="15"/>
        <v>0</v>
      </c>
      <c r="F68" s="365">
        <f t="shared" si="7"/>
        <v>184617</v>
      </c>
      <c r="G68" s="342">
        <f t="shared" si="15"/>
        <v>405549</v>
      </c>
      <c r="H68" s="342">
        <f t="shared" si="15"/>
        <v>279917</v>
      </c>
      <c r="I68" s="365">
        <f t="shared" si="1"/>
        <v>310249</v>
      </c>
      <c r="J68" s="342">
        <f t="shared" si="15"/>
        <v>321850</v>
      </c>
      <c r="K68" s="342">
        <f t="shared" si="15"/>
        <v>394549</v>
      </c>
      <c r="L68" s="365">
        <f t="shared" si="2"/>
        <v>237550</v>
      </c>
      <c r="M68" s="342">
        <f t="shared" si="15"/>
        <v>306550</v>
      </c>
      <c r="N68" s="342">
        <f t="shared" si="15"/>
        <v>263850</v>
      </c>
      <c r="O68" s="365">
        <f t="shared" si="3"/>
        <v>280250</v>
      </c>
      <c r="P68" s="342">
        <f t="shared" si="15"/>
        <v>52450</v>
      </c>
      <c r="Q68" s="342">
        <f t="shared" si="15"/>
        <v>280250</v>
      </c>
      <c r="R68" s="365">
        <f t="shared" si="4"/>
        <v>52450</v>
      </c>
      <c r="S68" s="342">
        <f t="shared" si="15"/>
        <v>52450</v>
      </c>
      <c r="T68" s="342">
        <f t="shared" si="15"/>
        <v>52450</v>
      </c>
      <c r="U68" s="365">
        <f t="shared" si="5"/>
        <v>52450</v>
      </c>
      <c r="V68" s="342">
        <f t="shared" si="15"/>
        <v>0</v>
      </c>
      <c r="W68" s="342">
        <f t="shared" si="15"/>
        <v>52450</v>
      </c>
      <c r="X68" s="365">
        <f t="shared" si="6"/>
        <v>0</v>
      </c>
    </row>
    <row r="69" spans="1:24" s="8" customFormat="1" x14ac:dyDescent="0.2">
      <c r="A69" s="345" t="s">
        <v>348</v>
      </c>
      <c r="B69" s="294">
        <v>3548</v>
      </c>
      <c r="C69" s="361" t="s">
        <v>366</v>
      </c>
      <c r="D69" s="45"/>
      <c r="E69" s="45"/>
      <c r="F69" s="45">
        <f t="shared" ref="F69:F77" si="16">D69-E69</f>
        <v>0</v>
      </c>
      <c r="G69" s="45"/>
      <c r="H69" s="45"/>
      <c r="I69" s="45">
        <f t="shared" ref="I69:I77" si="17">F69+G69-H69</f>
        <v>0</v>
      </c>
      <c r="J69" s="45"/>
      <c r="K69" s="45"/>
      <c r="L69" s="45">
        <f t="shared" ref="L69:L77" si="18">I69+J69-K69</f>
        <v>0</v>
      </c>
      <c r="M69" s="45"/>
      <c r="N69" s="45"/>
      <c r="O69" s="45">
        <f t="shared" ref="O69:O77" si="19">L69+M69-N69</f>
        <v>0</v>
      </c>
      <c r="P69" s="45"/>
      <c r="Q69" s="45"/>
      <c r="R69" s="45">
        <f t="shared" ref="R69:R77" si="20">O69+P69-Q69</f>
        <v>0</v>
      </c>
      <c r="S69" s="45"/>
      <c r="T69" s="45"/>
      <c r="U69" s="45">
        <f t="shared" ref="U69:U77" si="21">R69+S69-T69</f>
        <v>0</v>
      </c>
      <c r="V69" s="45"/>
      <c r="W69" s="45"/>
      <c r="X69" s="45">
        <f t="shared" ref="X69:X77" si="22">U69+V69-W69</f>
        <v>0</v>
      </c>
    </row>
    <row r="70" spans="1:24" s="37" customFormat="1" x14ac:dyDescent="0.2">
      <c r="A70" s="343" t="s">
        <v>91</v>
      </c>
      <c r="B70" s="288" t="s">
        <v>306</v>
      </c>
      <c r="C70" s="361" t="s">
        <v>366</v>
      </c>
      <c r="D70" s="45">
        <v>45000</v>
      </c>
      <c r="E70" s="7"/>
      <c r="F70" s="45">
        <f t="shared" si="16"/>
        <v>45000</v>
      </c>
      <c r="G70" s="45">
        <v>142000</v>
      </c>
      <c r="H70" s="7">
        <v>45000</v>
      </c>
      <c r="I70" s="45">
        <f t="shared" si="17"/>
        <v>142000</v>
      </c>
      <c r="J70" s="7"/>
      <c r="K70" s="7">
        <v>142000</v>
      </c>
      <c r="L70" s="45">
        <f t="shared" si="18"/>
        <v>0</v>
      </c>
      <c r="M70" s="7"/>
      <c r="N70" s="7"/>
      <c r="O70" s="45">
        <f t="shared" si="19"/>
        <v>0</v>
      </c>
      <c r="P70" s="7"/>
      <c r="Q70" s="7"/>
      <c r="R70" s="45">
        <f t="shared" si="20"/>
        <v>0</v>
      </c>
      <c r="S70" s="7"/>
      <c r="T70" s="7"/>
      <c r="U70" s="45">
        <f t="shared" si="21"/>
        <v>0</v>
      </c>
      <c r="V70" s="7"/>
      <c r="W70" s="7"/>
      <c r="X70" s="45">
        <f t="shared" si="22"/>
        <v>0</v>
      </c>
    </row>
    <row r="71" spans="1:24" s="8" customFormat="1" x14ac:dyDescent="0.2">
      <c r="A71" s="345" t="s">
        <v>212</v>
      </c>
      <c r="B71" s="294">
        <v>0</v>
      </c>
      <c r="C71" s="361" t="s">
        <v>366</v>
      </c>
      <c r="D71" s="45"/>
      <c r="E71" s="45"/>
      <c r="F71" s="45">
        <f t="shared" si="16"/>
        <v>0</v>
      </c>
      <c r="G71" s="45"/>
      <c r="H71" s="45"/>
      <c r="I71" s="45">
        <f t="shared" si="17"/>
        <v>0</v>
      </c>
      <c r="J71" s="45"/>
      <c r="K71" s="45"/>
      <c r="L71" s="45">
        <f t="shared" si="18"/>
        <v>0</v>
      </c>
      <c r="M71" s="45"/>
      <c r="N71" s="45"/>
      <c r="O71" s="45">
        <f t="shared" si="19"/>
        <v>0</v>
      </c>
      <c r="P71" s="45"/>
      <c r="Q71" s="45"/>
      <c r="R71" s="45">
        <f t="shared" si="20"/>
        <v>0</v>
      </c>
      <c r="S71" s="45"/>
      <c r="T71" s="45"/>
      <c r="U71" s="45">
        <f t="shared" si="21"/>
        <v>0</v>
      </c>
      <c r="V71" s="45"/>
      <c r="W71" s="45"/>
      <c r="X71" s="45">
        <f t="shared" si="22"/>
        <v>0</v>
      </c>
    </row>
    <row r="72" spans="1:24" s="8" customFormat="1" x14ac:dyDescent="0.2">
      <c r="A72" s="341" t="s">
        <v>29</v>
      </c>
      <c r="B72" s="352" t="s">
        <v>311</v>
      </c>
      <c r="C72" s="353" t="s">
        <v>311</v>
      </c>
      <c r="D72" s="342">
        <f t="shared" ref="D72:W72" si="23">SUBTOTAL(9,D69:D71)</f>
        <v>45000</v>
      </c>
      <c r="E72" s="342">
        <f t="shared" si="23"/>
        <v>0</v>
      </c>
      <c r="F72" s="365">
        <f t="shared" si="16"/>
        <v>45000</v>
      </c>
      <c r="G72" s="342">
        <f t="shared" si="23"/>
        <v>142000</v>
      </c>
      <c r="H72" s="342">
        <f t="shared" si="23"/>
        <v>45000</v>
      </c>
      <c r="I72" s="365">
        <f t="shared" si="17"/>
        <v>142000</v>
      </c>
      <c r="J72" s="342">
        <f t="shared" si="23"/>
        <v>0</v>
      </c>
      <c r="K72" s="342">
        <f t="shared" si="23"/>
        <v>142000</v>
      </c>
      <c r="L72" s="365">
        <f t="shared" si="18"/>
        <v>0</v>
      </c>
      <c r="M72" s="342">
        <f t="shared" si="23"/>
        <v>0</v>
      </c>
      <c r="N72" s="342">
        <f t="shared" si="23"/>
        <v>0</v>
      </c>
      <c r="O72" s="365">
        <f t="shared" si="19"/>
        <v>0</v>
      </c>
      <c r="P72" s="342">
        <f t="shared" si="23"/>
        <v>0</v>
      </c>
      <c r="Q72" s="342">
        <f t="shared" si="23"/>
        <v>0</v>
      </c>
      <c r="R72" s="365">
        <f t="shared" si="20"/>
        <v>0</v>
      </c>
      <c r="S72" s="342">
        <f t="shared" si="23"/>
        <v>0</v>
      </c>
      <c r="T72" s="342">
        <f t="shared" si="23"/>
        <v>0</v>
      </c>
      <c r="U72" s="365">
        <f t="shared" si="21"/>
        <v>0</v>
      </c>
      <c r="V72" s="342">
        <f t="shared" si="23"/>
        <v>0</v>
      </c>
      <c r="W72" s="342">
        <f t="shared" si="23"/>
        <v>0</v>
      </c>
      <c r="X72" s="365">
        <f t="shared" si="22"/>
        <v>0</v>
      </c>
    </row>
    <row r="73" spans="1:24" s="37" customFormat="1" x14ac:dyDescent="0.2">
      <c r="A73" s="346" t="s">
        <v>383</v>
      </c>
      <c r="B73" s="302" t="s">
        <v>384</v>
      </c>
      <c r="C73" s="361" t="s">
        <v>366</v>
      </c>
      <c r="D73" s="45"/>
      <c r="E73" s="45"/>
      <c r="F73" s="45">
        <f t="shared" si="16"/>
        <v>0</v>
      </c>
      <c r="G73" s="45"/>
      <c r="H73" s="45"/>
      <c r="I73" s="45">
        <f t="shared" si="17"/>
        <v>0</v>
      </c>
      <c r="J73" s="45"/>
      <c r="K73" s="45"/>
      <c r="L73" s="45">
        <f t="shared" si="18"/>
        <v>0</v>
      </c>
      <c r="M73" s="45"/>
      <c r="N73" s="45"/>
      <c r="O73" s="45">
        <f t="shared" si="19"/>
        <v>0</v>
      </c>
      <c r="P73" s="45"/>
      <c r="Q73" s="45"/>
      <c r="R73" s="45">
        <f t="shared" si="20"/>
        <v>0</v>
      </c>
      <c r="S73" s="45"/>
      <c r="T73" s="45"/>
      <c r="U73" s="45">
        <f t="shared" si="21"/>
        <v>0</v>
      </c>
      <c r="V73" s="45"/>
      <c r="W73" s="45"/>
      <c r="X73" s="45">
        <f t="shared" si="22"/>
        <v>0</v>
      </c>
    </row>
    <row r="74" spans="1:24" s="8" customFormat="1" x14ac:dyDescent="0.2">
      <c r="A74" s="341" t="s">
        <v>32</v>
      </c>
      <c r="B74" s="352" t="s">
        <v>311</v>
      </c>
      <c r="C74" s="353" t="s">
        <v>311</v>
      </c>
      <c r="D74" s="342">
        <f t="shared" ref="D74:W74" si="24">SUBTOTAL(9,D73:D73)</f>
        <v>0</v>
      </c>
      <c r="E74" s="342">
        <f t="shared" si="24"/>
        <v>0</v>
      </c>
      <c r="F74" s="365">
        <f t="shared" si="16"/>
        <v>0</v>
      </c>
      <c r="G74" s="342">
        <f t="shared" si="24"/>
        <v>0</v>
      </c>
      <c r="H74" s="342">
        <f t="shared" si="24"/>
        <v>0</v>
      </c>
      <c r="I74" s="365">
        <f t="shared" si="17"/>
        <v>0</v>
      </c>
      <c r="J74" s="342">
        <f t="shared" si="24"/>
        <v>0</v>
      </c>
      <c r="K74" s="342">
        <f t="shared" si="24"/>
        <v>0</v>
      </c>
      <c r="L74" s="365">
        <f t="shared" si="18"/>
        <v>0</v>
      </c>
      <c r="M74" s="342">
        <f t="shared" si="24"/>
        <v>0</v>
      </c>
      <c r="N74" s="342">
        <f t="shared" si="24"/>
        <v>0</v>
      </c>
      <c r="O74" s="365">
        <f t="shared" si="19"/>
        <v>0</v>
      </c>
      <c r="P74" s="342">
        <f t="shared" si="24"/>
        <v>0</v>
      </c>
      <c r="Q74" s="342">
        <f t="shared" si="24"/>
        <v>0</v>
      </c>
      <c r="R74" s="365">
        <f t="shared" si="20"/>
        <v>0</v>
      </c>
      <c r="S74" s="342">
        <f t="shared" si="24"/>
        <v>0</v>
      </c>
      <c r="T74" s="342">
        <f t="shared" si="24"/>
        <v>0</v>
      </c>
      <c r="U74" s="365">
        <f t="shared" si="21"/>
        <v>0</v>
      </c>
      <c r="V74" s="342">
        <f t="shared" si="24"/>
        <v>0</v>
      </c>
      <c r="W74" s="342">
        <f t="shared" si="24"/>
        <v>0</v>
      </c>
      <c r="X74" s="365">
        <f t="shared" si="22"/>
        <v>0</v>
      </c>
    </row>
    <row r="75" spans="1:24" s="37" customFormat="1" x14ac:dyDescent="0.2">
      <c r="A75" s="346" t="s">
        <v>385</v>
      </c>
      <c r="B75" s="302" t="s">
        <v>386</v>
      </c>
      <c r="C75" s="361" t="s">
        <v>366</v>
      </c>
      <c r="D75" s="45">
        <v>33500</v>
      </c>
      <c r="E75" s="45"/>
      <c r="F75" s="45">
        <f t="shared" si="16"/>
        <v>33500</v>
      </c>
      <c r="G75" s="45">
        <v>32000</v>
      </c>
      <c r="H75" s="45"/>
      <c r="I75" s="45">
        <f t="shared" si="17"/>
        <v>65500</v>
      </c>
      <c r="J75" s="45"/>
      <c r="K75" s="45">
        <v>65500</v>
      </c>
      <c r="L75" s="45">
        <f t="shared" si="18"/>
        <v>0</v>
      </c>
      <c r="M75" s="45"/>
      <c r="N75" s="45"/>
      <c r="O75" s="45">
        <f t="shared" si="19"/>
        <v>0</v>
      </c>
      <c r="P75" s="45"/>
      <c r="Q75" s="45"/>
      <c r="R75" s="45">
        <f t="shared" si="20"/>
        <v>0</v>
      </c>
      <c r="S75" s="45"/>
      <c r="T75" s="45"/>
      <c r="U75" s="45">
        <f t="shared" si="21"/>
        <v>0</v>
      </c>
      <c r="V75" s="45"/>
      <c r="W75" s="45"/>
      <c r="X75" s="45">
        <f t="shared" si="22"/>
        <v>0</v>
      </c>
    </row>
    <row r="76" spans="1:24" s="8" customFormat="1" x14ac:dyDescent="0.2">
      <c r="A76" s="341" t="s">
        <v>310</v>
      </c>
      <c r="B76" s="352" t="s">
        <v>311</v>
      </c>
      <c r="C76" s="353" t="s">
        <v>311</v>
      </c>
      <c r="D76" s="342">
        <f t="shared" ref="D76:W76" si="25">SUBTOTAL(9,D75:D75)</f>
        <v>33500</v>
      </c>
      <c r="E76" s="342">
        <f t="shared" si="25"/>
        <v>0</v>
      </c>
      <c r="F76" s="365">
        <f t="shared" si="16"/>
        <v>33500</v>
      </c>
      <c r="G76" s="342">
        <f t="shared" si="25"/>
        <v>32000</v>
      </c>
      <c r="H76" s="342">
        <f t="shared" si="25"/>
        <v>0</v>
      </c>
      <c r="I76" s="365">
        <f t="shared" si="17"/>
        <v>65500</v>
      </c>
      <c r="J76" s="342">
        <f t="shared" si="25"/>
        <v>0</v>
      </c>
      <c r="K76" s="342">
        <f t="shared" si="25"/>
        <v>65500</v>
      </c>
      <c r="L76" s="365">
        <f t="shared" si="18"/>
        <v>0</v>
      </c>
      <c r="M76" s="342">
        <f t="shared" si="25"/>
        <v>0</v>
      </c>
      <c r="N76" s="342">
        <f t="shared" si="25"/>
        <v>0</v>
      </c>
      <c r="O76" s="365">
        <f t="shared" si="19"/>
        <v>0</v>
      </c>
      <c r="P76" s="342">
        <f t="shared" si="25"/>
        <v>0</v>
      </c>
      <c r="Q76" s="342">
        <f t="shared" si="25"/>
        <v>0</v>
      </c>
      <c r="R76" s="365">
        <f t="shared" si="20"/>
        <v>0</v>
      </c>
      <c r="S76" s="342">
        <f t="shared" si="25"/>
        <v>0</v>
      </c>
      <c r="T76" s="342">
        <f t="shared" si="25"/>
        <v>0</v>
      </c>
      <c r="U76" s="365">
        <f t="shared" si="21"/>
        <v>0</v>
      </c>
      <c r="V76" s="342">
        <f t="shared" si="25"/>
        <v>0</v>
      </c>
      <c r="W76" s="342">
        <f t="shared" si="25"/>
        <v>0</v>
      </c>
      <c r="X76" s="365">
        <f t="shared" si="22"/>
        <v>0</v>
      </c>
    </row>
    <row r="77" spans="1:24" s="8" customFormat="1" ht="23.25" customHeight="1" x14ac:dyDescent="0.2">
      <c r="A77" s="362" t="s">
        <v>308</v>
      </c>
      <c r="B77" s="363" t="s">
        <v>311</v>
      </c>
      <c r="C77" s="364" t="s">
        <v>311</v>
      </c>
      <c r="D77" s="342">
        <f t="shared" ref="D77:W77" si="26">D76+D26+D74+D72+D68+D53+D40+D22+D5+D24+D43</f>
        <v>1165862</v>
      </c>
      <c r="E77" s="342">
        <f t="shared" si="26"/>
        <v>36355</v>
      </c>
      <c r="F77" s="366">
        <f t="shared" si="16"/>
        <v>1129507</v>
      </c>
      <c r="G77" s="342">
        <f t="shared" si="26"/>
        <v>2297979</v>
      </c>
      <c r="H77" s="342">
        <f t="shared" si="26"/>
        <v>1555823</v>
      </c>
      <c r="I77" s="366">
        <f t="shared" si="17"/>
        <v>1871663</v>
      </c>
      <c r="J77" s="342">
        <f t="shared" si="26"/>
        <v>1681577</v>
      </c>
      <c r="K77" s="342">
        <f t="shared" si="26"/>
        <v>2361449</v>
      </c>
      <c r="L77" s="366">
        <f t="shared" si="18"/>
        <v>1191791</v>
      </c>
      <c r="M77" s="342">
        <f t="shared" si="26"/>
        <v>406550</v>
      </c>
      <c r="N77" s="342">
        <f t="shared" si="26"/>
        <v>1318091</v>
      </c>
      <c r="O77" s="366">
        <f t="shared" si="19"/>
        <v>280250</v>
      </c>
      <c r="P77" s="342">
        <f t="shared" si="26"/>
        <v>52450</v>
      </c>
      <c r="Q77" s="342">
        <f t="shared" si="26"/>
        <v>280250</v>
      </c>
      <c r="R77" s="366">
        <f t="shared" si="20"/>
        <v>52450</v>
      </c>
      <c r="S77" s="342">
        <f t="shared" si="26"/>
        <v>52450</v>
      </c>
      <c r="T77" s="342">
        <f t="shared" si="26"/>
        <v>52450</v>
      </c>
      <c r="U77" s="366">
        <f t="shared" si="21"/>
        <v>52450</v>
      </c>
      <c r="V77" s="342">
        <f t="shared" si="26"/>
        <v>0</v>
      </c>
      <c r="W77" s="342">
        <f t="shared" si="26"/>
        <v>52450</v>
      </c>
      <c r="X77" s="366">
        <f t="shared" si="22"/>
        <v>0</v>
      </c>
    </row>
    <row r="78" spans="1:24" ht="13.5" hidden="1" thickBot="1" x14ac:dyDescent="0.25">
      <c r="A78" s="337"/>
      <c r="B78" s="338" t="s">
        <v>316</v>
      </c>
      <c r="C78" s="336" t="s">
        <v>311</v>
      </c>
      <c r="D78" s="348" t="e">
        <f>SUBTOTAL(9,#REF!,D6:D21,D25:D25,D27:D39,D44:D52,D54:D66,D69:D71,D73:D73,#REF!,#REF!)</f>
        <v>#REF!</v>
      </c>
      <c r="E78" s="349" t="e">
        <f>SUBTOTAL(9,#REF!,E6:E21,E25:E25,E27:E39,E44:E52,E54:E66,E69:E71,E73:E73,#REF!,#REF!)</f>
        <v>#REF!</v>
      </c>
      <c r="F78" s="350"/>
      <c r="G78" s="348" t="e">
        <f>SUBTOTAL(9,#REF!,G6:G21,G25:G25,G27:G39,G44:G52,G54:G66,G69:G71,G73:G73,#REF!,#REF!)</f>
        <v>#REF!</v>
      </c>
      <c r="H78" s="349" t="e">
        <f>SUBTOTAL(9,#REF!,H6:H21,H25:H25,H27:H39,H44:H52,H54:H66,H69:H71,H73:H73,#REF!,#REF!)</f>
        <v>#REF!</v>
      </c>
      <c r="I78" s="350"/>
      <c r="J78" s="348" t="e">
        <f>SUBTOTAL(9,#REF!,J6:J21,J25:J25,J27:J39,J44:J52,J54:J66,J69:J71,J73:J73,#REF!,#REF!)</f>
        <v>#REF!</v>
      </c>
      <c r="K78" s="349" t="e">
        <f>SUBTOTAL(9,#REF!,K6:K21,K25:K25,K27:K39,K44:K52,K54:K66,K69:K71,K73:K73,#REF!,#REF!)</f>
        <v>#REF!</v>
      </c>
      <c r="L78" s="350"/>
      <c r="M78" s="348" t="e">
        <f>SUBTOTAL(9,#REF!,M6:M21,M25:M25,M27:M39,M44:M52,M54:M66,M69:M71,M73:M73,#REF!,#REF!)</f>
        <v>#REF!</v>
      </c>
      <c r="N78" s="349" t="e">
        <f>SUBTOTAL(9,#REF!,N6:N21,N25:N25,N27:N39,N44:N52,N54:N66,N69:N71,N73:N73,#REF!,#REF!)</f>
        <v>#REF!</v>
      </c>
      <c r="O78" s="350"/>
      <c r="P78" s="348" t="e">
        <f>SUBTOTAL(9,#REF!,P6:P21,P25:P25,P27:P39,P44:P52,P54:P66,P69:P71,P73:P73,#REF!,#REF!)</f>
        <v>#REF!</v>
      </c>
      <c r="Q78" s="349" t="e">
        <f>SUBTOTAL(9,#REF!,Q6:Q21,Q25:Q25,Q27:Q39,Q44:Q52,Q54:Q66,Q69:Q71,Q73:Q73,#REF!,#REF!)</f>
        <v>#REF!</v>
      </c>
      <c r="R78" s="350"/>
      <c r="S78" s="348" t="e">
        <f>SUBTOTAL(9,#REF!,S6:S21,S25:S25,S27:S39,S44:S52,S54:S66,S69:S71,S73:S73,#REF!,#REF!)</f>
        <v>#REF!</v>
      </c>
      <c r="T78" s="350" t="e">
        <f>SUBTOTAL(9,#REF!,T6:T21,T25:T25,T27:T39,T44:T52,T54:T66,T69:T71,T73:T73,#REF!,#REF!)</f>
        <v>#REF!</v>
      </c>
      <c r="U78" s="350"/>
      <c r="V78" s="348" t="e">
        <f>SUBTOTAL(9,#REF!,V6:V21,V25:V25,V27:V39,V44:V52,V54:V66,V69:V71,V73:V73,#REF!,#REF!)</f>
        <v>#REF!</v>
      </c>
      <c r="W78" s="350" t="e">
        <f>SUBTOTAL(9,#REF!,W6:W21,W25:W25,W27:W39,W44:W52,W54:W66,W69:W71,W73:W73,#REF!,#REF!)</f>
        <v>#REF!</v>
      </c>
      <c r="X78" s="350"/>
    </row>
    <row r="79" spans="1:24" s="14" customFormat="1" x14ac:dyDescent="0.2">
      <c r="A79" s="4"/>
      <c r="B79" s="311"/>
      <c r="C79" s="332"/>
      <c r="D79" s="333"/>
      <c r="E79" s="333"/>
      <c r="F79" s="333"/>
      <c r="G79" s="333"/>
      <c r="H79" s="333"/>
      <c r="I79" s="333"/>
      <c r="J79" s="333"/>
      <c r="K79" s="333"/>
      <c r="L79" s="333"/>
      <c r="M79" s="333"/>
      <c r="N79" s="333"/>
      <c r="O79" s="333"/>
      <c r="P79" s="333"/>
      <c r="Q79" s="333"/>
      <c r="R79" s="333"/>
      <c r="S79" s="333"/>
      <c r="T79" s="333"/>
      <c r="U79" s="333"/>
      <c r="V79" s="333"/>
      <c r="W79" s="333"/>
      <c r="X79" s="333"/>
    </row>
    <row r="80" spans="1:24" s="14" customFormat="1" x14ac:dyDescent="0.2">
      <c r="A80" s="4"/>
      <c r="B80" s="311"/>
      <c r="C80" s="332"/>
      <c r="D80" s="333"/>
      <c r="E80" s="333"/>
      <c r="F80" s="333"/>
      <c r="G80" s="333"/>
      <c r="H80" s="333"/>
      <c r="I80" s="333"/>
      <c r="J80" s="333"/>
      <c r="K80" s="333"/>
      <c r="L80" s="333"/>
      <c r="M80" s="333"/>
      <c r="N80" s="333"/>
      <c r="O80" s="333"/>
      <c r="P80" s="333"/>
      <c r="Q80" s="333"/>
      <c r="R80" s="333"/>
      <c r="S80" s="333"/>
      <c r="T80" s="333"/>
      <c r="U80" s="333"/>
      <c r="V80" s="333"/>
      <c r="W80" s="333"/>
      <c r="X80" s="333"/>
    </row>
    <row r="81" spans="1:24" s="14" customFormat="1" x14ac:dyDescent="0.2">
      <c r="A81" s="4"/>
      <c r="B81" s="311"/>
      <c r="C81" s="332"/>
      <c r="D81" s="333"/>
      <c r="E81" s="333"/>
      <c r="F81" s="333"/>
      <c r="G81" s="333"/>
      <c r="H81" s="333"/>
      <c r="I81" s="333"/>
      <c r="J81" s="333"/>
      <c r="K81" s="333"/>
      <c r="L81" s="333"/>
      <c r="M81" s="333"/>
      <c r="N81" s="333"/>
      <c r="O81" s="333"/>
      <c r="P81" s="333"/>
      <c r="Q81" s="333"/>
      <c r="R81" s="333"/>
      <c r="S81" s="333"/>
      <c r="T81" s="333"/>
      <c r="U81" s="333"/>
      <c r="V81" s="333"/>
      <c r="W81" s="333"/>
      <c r="X81" s="333"/>
    </row>
    <row r="82" spans="1:24" s="14" customFormat="1" x14ac:dyDescent="0.2">
      <c r="A82" s="4"/>
      <c r="B82" s="311"/>
      <c r="C82" s="332"/>
      <c r="D82" s="333"/>
      <c r="E82" s="333"/>
      <c r="F82" s="333"/>
      <c r="G82" s="333"/>
      <c r="H82" s="333"/>
      <c r="I82" s="333"/>
      <c r="J82" s="333"/>
      <c r="K82" s="333"/>
      <c r="L82" s="333"/>
      <c r="M82" s="333"/>
      <c r="N82" s="333"/>
      <c r="O82" s="333"/>
      <c r="P82" s="333"/>
      <c r="Q82" s="333"/>
      <c r="R82" s="333"/>
      <c r="S82" s="333"/>
      <c r="T82" s="333"/>
      <c r="U82" s="333"/>
      <c r="V82" s="333"/>
      <c r="W82" s="333"/>
      <c r="X82" s="333"/>
    </row>
    <row r="83" spans="1:24" s="14" customFormat="1" x14ac:dyDescent="0.2">
      <c r="A83" s="4"/>
      <c r="B83" s="311"/>
      <c r="C83" s="332"/>
      <c r="D83" s="333"/>
      <c r="E83" s="333"/>
      <c r="F83" s="333"/>
      <c r="G83" s="333"/>
      <c r="H83" s="333"/>
      <c r="I83" s="333"/>
      <c r="J83" s="333"/>
      <c r="K83" s="333"/>
      <c r="L83" s="333"/>
      <c r="M83" s="333"/>
      <c r="N83" s="333"/>
      <c r="O83" s="333"/>
      <c r="P83" s="333"/>
      <c r="Q83" s="333"/>
      <c r="R83" s="333"/>
      <c r="S83" s="333"/>
      <c r="T83" s="333"/>
      <c r="U83" s="333"/>
      <c r="V83" s="333"/>
      <c r="W83" s="333"/>
      <c r="X83" s="333"/>
    </row>
    <row r="84" spans="1:24" s="14" customFormat="1" x14ac:dyDescent="0.2">
      <c r="A84" s="4"/>
      <c r="B84" s="311"/>
      <c r="C84" s="332"/>
      <c r="D84" s="333"/>
      <c r="E84" s="333"/>
      <c r="F84" s="333"/>
      <c r="G84" s="333"/>
      <c r="H84" s="333"/>
      <c r="I84" s="333"/>
      <c r="J84" s="333"/>
      <c r="K84" s="333"/>
      <c r="L84" s="333"/>
      <c r="M84" s="333"/>
      <c r="N84" s="333"/>
      <c r="O84" s="333"/>
      <c r="P84" s="333"/>
      <c r="Q84" s="333"/>
      <c r="R84" s="333"/>
      <c r="S84" s="333"/>
      <c r="T84" s="333"/>
      <c r="U84" s="333"/>
      <c r="V84" s="333"/>
      <c r="W84" s="333"/>
      <c r="X84" s="333"/>
    </row>
    <row r="85" spans="1:24" s="14" customFormat="1" x14ac:dyDescent="0.2">
      <c r="A85" s="4"/>
      <c r="B85" s="311"/>
      <c r="C85" s="332"/>
      <c r="D85" s="333"/>
      <c r="E85" s="333"/>
      <c r="F85" s="333"/>
      <c r="G85" s="333"/>
      <c r="H85" s="333"/>
      <c r="I85" s="333"/>
      <c r="J85" s="333"/>
      <c r="K85" s="333"/>
      <c r="L85" s="333"/>
      <c r="M85" s="333"/>
      <c r="N85" s="333"/>
      <c r="O85" s="333"/>
      <c r="P85" s="333"/>
      <c r="Q85" s="333"/>
      <c r="R85" s="333"/>
      <c r="S85" s="333"/>
      <c r="T85" s="333"/>
      <c r="U85" s="333"/>
      <c r="V85" s="333"/>
      <c r="W85" s="333"/>
      <c r="X85" s="333"/>
    </row>
    <row r="86" spans="1:24" s="334" customFormat="1" x14ac:dyDescent="0.2">
      <c r="A86" s="4"/>
      <c r="B86" s="311"/>
      <c r="C86" s="332"/>
      <c r="D86" s="333"/>
      <c r="E86" s="333"/>
      <c r="F86" s="333"/>
      <c r="G86" s="333"/>
      <c r="H86" s="333"/>
      <c r="I86" s="333"/>
      <c r="J86" s="333"/>
      <c r="K86" s="333"/>
      <c r="L86" s="333"/>
      <c r="M86" s="333"/>
      <c r="N86" s="333"/>
      <c r="O86" s="333"/>
      <c r="P86" s="333"/>
      <c r="Q86" s="333"/>
      <c r="R86" s="333"/>
      <c r="S86" s="333"/>
      <c r="T86" s="333"/>
      <c r="U86" s="333"/>
      <c r="V86" s="333"/>
      <c r="W86" s="333"/>
      <c r="X86" s="333"/>
    </row>
    <row r="87" spans="1:24" s="334" customFormat="1" x14ac:dyDescent="0.2">
      <c r="A87" s="4"/>
      <c r="B87" s="311"/>
      <c r="C87" s="332"/>
      <c r="D87" s="333"/>
      <c r="E87" s="333"/>
      <c r="F87" s="333"/>
      <c r="G87" s="333"/>
      <c r="H87" s="333"/>
      <c r="I87" s="333"/>
      <c r="J87" s="333"/>
      <c r="K87" s="333"/>
      <c r="L87" s="333"/>
      <c r="M87" s="333"/>
      <c r="N87" s="333"/>
      <c r="O87" s="333"/>
      <c r="P87" s="333"/>
      <c r="Q87" s="333"/>
      <c r="R87" s="333"/>
      <c r="S87" s="333"/>
      <c r="T87" s="333"/>
      <c r="U87" s="333"/>
      <c r="V87" s="333"/>
      <c r="W87" s="333"/>
      <c r="X87" s="333"/>
    </row>
    <row r="88" spans="1:24" s="334" customFormat="1" x14ac:dyDescent="0.2">
      <c r="A88" s="4"/>
      <c r="B88" s="311"/>
      <c r="C88" s="332"/>
      <c r="D88" s="333"/>
      <c r="E88" s="333"/>
      <c r="F88" s="333"/>
      <c r="G88" s="333"/>
      <c r="H88" s="333"/>
      <c r="I88" s="333"/>
      <c r="J88" s="333"/>
      <c r="K88" s="333"/>
      <c r="L88" s="333"/>
      <c r="M88" s="333"/>
      <c r="N88" s="333"/>
      <c r="O88" s="333"/>
      <c r="P88" s="333"/>
      <c r="Q88" s="333"/>
      <c r="R88" s="333"/>
      <c r="S88" s="333"/>
      <c r="T88" s="333"/>
      <c r="U88" s="333"/>
      <c r="V88" s="333"/>
      <c r="W88" s="333"/>
      <c r="X88" s="333"/>
    </row>
    <row r="89" spans="1:24" s="334" customFormat="1" x14ac:dyDescent="0.2">
      <c r="A89" s="4"/>
      <c r="B89" s="311"/>
      <c r="C89" s="332"/>
      <c r="D89" s="333"/>
      <c r="E89" s="333"/>
      <c r="F89" s="333"/>
      <c r="G89" s="333"/>
      <c r="H89" s="333"/>
      <c r="I89" s="333"/>
      <c r="J89" s="333"/>
      <c r="K89" s="333"/>
      <c r="L89" s="333"/>
      <c r="M89" s="333"/>
      <c r="N89" s="333"/>
      <c r="O89" s="333"/>
      <c r="P89" s="333"/>
      <c r="Q89" s="333"/>
      <c r="R89" s="333"/>
      <c r="S89" s="333"/>
      <c r="T89" s="333"/>
      <c r="U89" s="333"/>
      <c r="V89" s="333"/>
      <c r="W89" s="333"/>
      <c r="X89" s="333"/>
    </row>
    <row r="90" spans="1:24" s="334" customFormat="1" x14ac:dyDescent="0.2">
      <c r="A90" s="4"/>
      <c r="B90" s="311"/>
      <c r="C90" s="332"/>
      <c r="D90" s="333"/>
      <c r="E90" s="333"/>
      <c r="F90" s="333"/>
      <c r="G90" s="333"/>
      <c r="H90" s="333"/>
      <c r="I90" s="333"/>
      <c r="J90" s="333"/>
      <c r="K90" s="333"/>
      <c r="L90" s="333"/>
      <c r="M90" s="333"/>
      <c r="N90" s="333"/>
      <c r="O90" s="333"/>
      <c r="P90" s="333"/>
      <c r="Q90" s="333"/>
      <c r="R90" s="333"/>
      <c r="S90" s="333"/>
      <c r="T90" s="333"/>
      <c r="U90" s="333"/>
      <c r="V90" s="333"/>
      <c r="W90" s="333"/>
      <c r="X90" s="333"/>
    </row>
    <row r="91" spans="1:24" s="334" customFormat="1" x14ac:dyDescent="0.2">
      <c r="A91" s="4"/>
      <c r="B91" s="311"/>
      <c r="C91" s="332"/>
      <c r="D91" s="333"/>
      <c r="E91" s="333"/>
      <c r="F91" s="333"/>
      <c r="G91" s="333"/>
      <c r="H91" s="333"/>
      <c r="I91" s="333"/>
      <c r="J91" s="333"/>
      <c r="K91" s="333"/>
      <c r="L91" s="333"/>
      <c r="M91" s="333"/>
      <c r="N91" s="333"/>
      <c r="O91" s="333"/>
      <c r="P91" s="333"/>
      <c r="Q91" s="333"/>
      <c r="R91" s="333"/>
      <c r="S91" s="333"/>
      <c r="T91" s="333"/>
      <c r="U91" s="333"/>
      <c r="V91" s="333"/>
      <c r="W91" s="333"/>
      <c r="X91" s="333"/>
    </row>
    <row r="92" spans="1:24" s="334" customFormat="1" x14ac:dyDescent="0.2">
      <c r="A92" s="4"/>
      <c r="B92" s="311"/>
      <c r="C92" s="332"/>
      <c r="D92" s="333"/>
      <c r="E92" s="333"/>
      <c r="F92" s="333"/>
      <c r="G92" s="333"/>
      <c r="H92" s="333"/>
      <c r="I92" s="333"/>
      <c r="J92" s="333"/>
      <c r="K92" s="333"/>
      <c r="L92" s="333"/>
      <c r="M92" s="333"/>
      <c r="N92" s="333"/>
      <c r="O92" s="333"/>
      <c r="P92" s="333"/>
      <c r="Q92" s="333"/>
      <c r="R92" s="333"/>
      <c r="S92" s="333"/>
      <c r="T92" s="333"/>
      <c r="U92" s="333"/>
      <c r="V92" s="333"/>
      <c r="W92" s="333"/>
      <c r="X92" s="333"/>
    </row>
    <row r="93" spans="1:24" s="334" customFormat="1" x14ac:dyDescent="0.2">
      <c r="A93" s="4"/>
      <c r="B93" s="311"/>
      <c r="C93" s="332"/>
      <c r="D93" s="333"/>
      <c r="E93" s="333"/>
      <c r="F93" s="333"/>
      <c r="G93" s="333"/>
      <c r="H93" s="333"/>
      <c r="I93" s="333"/>
      <c r="J93" s="333"/>
      <c r="K93" s="333"/>
      <c r="L93" s="333"/>
      <c r="M93" s="333"/>
      <c r="N93" s="333"/>
      <c r="O93" s="333"/>
      <c r="P93" s="333"/>
      <c r="Q93" s="333"/>
      <c r="R93" s="333"/>
      <c r="S93" s="333"/>
      <c r="T93" s="333"/>
      <c r="U93" s="333"/>
      <c r="V93" s="333"/>
      <c r="W93" s="333"/>
      <c r="X93" s="333"/>
    </row>
    <row r="94" spans="1:24" s="334" customFormat="1" x14ac:dyDescent="0.2">
      <c r="A94" s="4"/>
      <c r="B94" s="311"/>
      <c r="C94" s="332"/>
      <c r="D94" s="333"/>
      <c r="E94" s="333"/>
      <c r="F94" s="333"/>
      <c r="G94" s="333"/>
      <c r="H94" s="333"/>
      <c r="I94" s="333"/>
      <c r="J94" s="333"/>
      <c r="K94" s="333"/>
      <c r="L94" s="333"/>
      <c r="M94" s="333"/>
      <c r="N94" s="333"/>
      <c r="O94" s="333"/>
      <c r="P94" s="333"/>
      <c r="Q94" s="333"/>
      <c r="R94" s="333"/>
      <c r="S94" s="333"/>
      <c r="T94" s="333"/>
      <c r="U94" s="333"/>
      <c r="V94" s="333"/>
      <c r="W94" s="333"/>
      <c r="X94" s="333"/>
    </row>
    <row r="95" spans="1:24" s="334" customFormat="1" x14ac:dyDescent="0.2">
      <c r="A95" s="4"/>
      <c r="B95" s="311"/>
      <c r="C95" s="332"/>
      <c r="D95" s="333"/>
      <c r="E95" s="333"/>
      <c r="F95" s="333"/>
      <c r="G95" s="333"/>
      <c r="H95" s="333"/>
      <c r="I95" s="333"/>
      <c r="J95" s="333"/>
      <c r="K95" s="333"/>
      <c r="L95" s="333"/>
      <c r="M95" s="333"/>
      <c r="N95" s="333"/>
      <c r="O95" s="333"/>
      <c r="P95" s="333"/>
      <c r="Q95" s="333"/>
      <c r="R95" s="333"/>
      <c r="S95" s="333"/>
      <c r="T95" s="333"/>
      <c r="U95" s="333"/>
      <c r="V95" s="333"/>
      <c r="W95" s="333"/>
      <c r="X95" s="333"/>
    </row>
    <row r="96" spans="1:24" s="334" customFormat="1" x14ac:dyDescent="0.2">
      <c r="A96" s="4"/>
      <c r="B96" s="311"/>
      <c r="C96" s="332"/>
      <c r="D96" s="333"/>
      <c r="E96" s="333"/>
      <c r="F96" s="333"/>
      <c r="G96" s="333"/>
      <c r="H96" s="333"/>
      <c r="I96" s="333"/>
      <c r="J96" s="333"/>
      <c r="K96" s="333"/>
      <c r="L96" s="333"/>
      <c r="M96" s="333"/>
      <c r="N96" s="333"/>
      <c r="O96" s="333"/>
      <c r="P96" s="333"/>
      <c r="Q96" s="333"/>
      <c r="R96" s="333"/>
      <c r="S96" s="333"/>
      <c r="T96" s="333"/>
      <c r="U96" s="333"/>
      <c r="V96" s="333"/>
      <c r="W96" s="333"/>
      <c r="X96" s="333"/>
    </row>
    <row r="97" spans="1:24" s="334" customFormat="1" x14ac:dyDescent="0.2">
      <c r="A97" s="4"/>
      <c r="B97" s="311"/>
      <c r="C97" s="332"/>
      <c r="D97" s="333"/>
      <c r="E97" s="333"/>
      <c r="F97" s="333"/>
      <c r="G97" s="333"/>
      <c r="H97" s="333"/>
      <c r="I97" s="333"/>
      <c r="J97" s="333"/>
      <c r="K97" s="333"/>
      <c r="L97" s="333"/>
      <c r="M97" s="333"/>
      <c r="N97" s="333"/>
      <c r="O97" s="333"/>
      <c r="P97" s="333"/>
      <c r="Q97" s="333"/>
      <c r="R97" s="333"/>
      <c r="S97" s="333"/>
      <c r="T97" s="333"/>
      <c r="U97" s="333"/>
      <c r="V97" s="333"/>
      <c r="W97" s="333"/>
      <c r="X97" s="333"/>
    </row>
    <row r="98" spans="1:24" s="334" customFormat="1" x14ac:dyDescent="0.2">
      <c r="A98" s="4"/>
      <c r="B98" s="311"/>
      <c r="C98" s="332"/>
      <c r="D98" s="333"/>
      <c r="E98" s="333"/>
      <c r="F98" s="333"/>
      <c r="G98" s="333"/>
      <c r="H98" s="333"/>
      <c r="I98" s="333"/>
      <c r="J98" s="333"/>
      <c r="K98" s="333"/>
      <c r="L98" s="333"/>
      <c r="M98" s="333"/>
      <c r="N98" s="333"/>
      <c r="O98" s="333"/>
      <c r="P98" s="333"/>
      <c r="Q98" s="333"/>
      <c r="R98" s="333"/>
      <c r="S98" s="333"/>
      <c r="T98" s="333"/>
      <c r="U98" s="333"/>
      <c r="V98" s="333"/>
      <c r="W98" s="333"/>
      <c r="X98" s="333"/>
    </row>
    <row r="99" spans="1:24" s="334" customFormat="1" x14ac:dyDescent="0.2">
      <c r="A99" s="4"/>
      <c r="B99" s="311"/>
      <c r="C99" s="332"/>
      <c r="D99" s="333"/>
      <c r="E99" s="333"/>
      <c r="F99" s="333"/>
      <c r="G99" s="333"/>
      <c r="H99" s="333"/>
      <c r="I99" s="333"/>
      <c r="J99" s="333"/>
      <c r="K99" s="333"/>
      <c r="L99" s="333"/>
      <c r="M99" s="333"/>
      <c r="N99" s="333"/>
      <c r="O99" s="333"/>
      <c r="P99" s="333"/>
      <c r="Q99" s="333"/>
      <c r="R99" s="333"/>
      <c r="S99" s="333"/>
      <c r="T99" s="333"/>
      <c r="U99" s="333"/>
      <c r="V99" s="333"/>
      <c r="W99" s="333"/>
      <c r="X99" s="333"/>
    </row>
    <row r="100" spans="1:24" s="334" customFormat="1" x14ac:dyDescent="0.2">
      <c r="A100" s="4"/>
      <c r="B100" s="311"/>
      <c r="C100" s="332"/>
      <c r="D100" s="333"/>
      <c r="E100" s="333"/>
      <c r="F100" s="333"/>
      <c r="G100" s="333"/>
      <c r="H100" s="333"/>
      <c r="I100" s="333"/>
      <c r="J100" s="333"/>
      <c r="K100" s="333"/>
      <c r="L100" s="333"/>
      <c r="M100" s="333"/>
      <c r="N100" s="333"/>
      <c r="O100" s="333"/>
      <c r="P100" s="333"/>
      <c r="Q100" s="333"/>
      <c r="R100" s="333"/>
      <c r="S100" s="333"/>
      <c r="T100" s="333"/>
      <c r="U100" s="333"/>
      <c r="V100" s="333"/>
      <c r="W100" s="333"/>
      <c r="X100" s="333"/>
    </row>
    <row r="102" spans="1:24" s="335" customFormat="1" x14ac:dyDescent="0.2">
      <c r="A102" s="4"/>
      <c r="B102" s="311"/>
      <c r="C102" s="332"/>
      <c r="D102" s="333"/>
      <c r="E102" s="333"/>
      <c r="F102" s="333"/>
      <c r="G102" s="333"/>
      <c r="H102" s="333"/>
      <c r="I102" s="333"/>
      <c r="J102" s="333"/>
      <c r="K102" s="333"/>
      <c r="L102" s="333"/>
      <c r="M102" s="333"/>
      <c r="N102" s="333"/>
      <c r="O102" s="333"/>
      <c r="P102" s="333"/>
      <c r="Q102" s="333"/>
      <c r="R102" s="333"/>
      <c r="S102" s="333"/>
      <c r="T102" s="333"/>
      <c r="U102" s="333"/>
      <c r="V102" s="333"/>
      <c r="W102" s="333"/>
      <c r="X102" s="333"/>
    </row>
    <row r="103" spans="1:24" s="335" customFormat="1" x14ac:dyDescent="0.2">
      <c r="A103" s="4"/>
      <c r="B103" s="311"/>
      <c r="C103" s="332"/>
      <c r="D103" s="333"/>
      <c r="E103" s="333"/>
      <c r="F103" s="333"/>
      <c r="G103" s="333"/>
      <c r="H103" s="333"/>
      <c r="I103" s="333"/>
      <c r="J103" s="333"/>
      <c r="K103" s="333"/>
      <c r="L103" s="333"/>
      <c r="M103" s="333"/>
      <c r="N103" s="333"/>
      <c r="O103" s="333"/>
      <c r="P103" s="333"/>
      <c r="Q103" s="333"/>
      <c r="R103" s="333"/>
      <c r="S103" s="333"/>
      <c r="T103" s="333"/>
      <c r="U103" s="333"/>
      <c r="V103" s="333"/>
      <c r="W103" s="333"/>
      <c r="X103" s="333"/>
    </row>
    <row r="104" spans="1:24" s="335" customFormat="1" x14ac:dyDescent="0.2">
      <c r="A104" s="4"/>
      <c r="B104" s="311"/>
      <c r="C104" s="332"/>
      <c r="D104" s="333"/>
      <c r="E104" s="333"/>
      <c r="F104" s="333"/>
      <c r="G104" s="333"/>
      <c r="H104" s="333"/>
      <c r="I104" s="333"/>
      <c r="J104" s="333"/>
      <c r="K104" s="333"/>
      <c r="L104" s="333"/>
      <c r="M104" s="333"/>
      <c r="N104" s="333"/>
      <c r="O104" s="333"/>
      <c r="P104" s="333"/>
      <c r="Q104" s="333"/>
      <c r="R104" s="333"/>
      <c r="S104" s="333"/>
      <c r="T104" s="333"/>
      <c r="U104" s="333"/>
      <c r="V104" s="333"/>
      <c r="W104" s="333"/>
      <c r="X104" s="333"/>
    </row>
    <row r="105" spans="1:24" s="335" customFormat="1" x14ac:dyDescent="0.2">
      <c r="A105" s="4"/>
      <c r="B105" s="311"/>
      <c r="C105" s="332"/>
      <c r="D105" s="333"/>
      <c r="E105" s="333"/>
      <c r="F105" s="333"/>
      <c r="G105" s="333"/>
      <c r="H105" s="333"/>
      <c r="I105" s="333"/>
      <c r="J105" s="333"/>
      <c r="K105" s="333"/>
      <c r="L105" s="333"/>
      <c r="M105" s="333"/>
      <c r="N105" s="333"/>
      <c r="O105" s="333"/>
      <c r="P105" s="333"/>
      <c r="Q105" s="333"/>
      <c r="R105" s="333"/>
      <c r="S105" s="333"/>
      <c r="T105" s="333"/>
      <c r="U105" s="333"/>
      <c r="V105" s="333"/>
      <c r="W105" s="333"/>
      <c r="X105" s="333"/>
    </row>
    <row r="106" spans="1:24" s="335" customFormat="1" x14ac:dyDescent="0.2">
      <c r="A106" s="4"/>
      <c r="B106" s="311"/>
      <c r="C106" s="332"/>
      <c r="D106" s="333"/>
      <c r="E106" s="333"/>
      <c r="F106" s="333"/>
      <c r="G106" s="333"/>
      <c r="H106" s="333"/>
      <c r="I106" s="333"/>
      <c r="J106" s="333"/>
      <c r="K106" s="333"/>
      <c r="L106" s="333"/>
      <c r="M106" s="333"/>
      <c r="N106" s="333"/>
      <c r="O106" s="333"/>
      <c r="P106" s="333"/>
      <c r="Q106" s="333"/>
      <c r="R106" s="333"/>
      <c r="S106" s="333"/>
      <c r="T106" s="333"/>
      <c r="U106" s="333"/>
      <c r="V106" s="333"/>
      <c r="W106" s="333"/>
      <c r="X106" s="333"/>
    </row>
    <row r="107" spans="1:24" s="335" customFormat="1" x14ac:dyDescent="0.2">
      <c r="A107" s="4"/>
      <c r="B107" s="311"/>
      <c r="C107" s="332"/>
      <c r="D107" s="333"/>
      <c r="E107" s="333"/>
      <c r="F107" s="333"/>
      <c r="G107" s="333"/>
      <c r="H107" s="333"/>
      <c r="I107" s="333"/>
      <c r="J107" s="333"/>
      <c r="K107" s="333"/>
      <c r="L107" s="333"/>
      <c r="M107" s="333"/>
      <c r="N107" s="333"/>
      <c r="O107" s="333"/>
      <c r="P107" s="333"/>
      <c r="Q107" s="333"/>
      <c r="R107" s="333"/>
      <c r="S107" s="333"/>
      <c r="T107" s="333"/>
      <c r="U107" s="333"/>
      <c r="V107" s="333"/>
      <c r="W107" s="333"/>
      <c r="X107" s="333"/>
    </row>
    <row r="108" spans="1:24" s="335" customFormat="1" x14ac:dyDescent="0.2">
      <c r="A108" s="4"/>
      <c r="B108" s="311"/>
      <c r="C108" s="332"/>
      <c r="D108" s="333"/>
      <c r="E108" s="333"/>
      <c r="F108" s="333"/>
      <c r="G108" s="333"/>
      <c r="H108" s="333"/>
      <c r="I108" s="333"/>
      <c r="J108" s="333"/>
      <c r="K108" s="333"/>
      <c r="L108" s="333"/>
      <c r="M108" s="333"/>
      <c r="N108" s="333"/>
      <c r="O108" s="333"/>
      <c r="P108" s="333"/>
      <c r="Q108" s="333"/>
      <c r="R108" s="333"/>
      <c r="S108" s="333"/>
      <c r="T108" s="333"/>
      <c r="U108" s="333"/>
      <c r="V108" s="333"/>
      <c r="W108" s="333"/>
      <c r="X108" s="333"/>
    </row>
    <row r="109" spans="1:24" s="335" customFormat="1" x14ac:dyDescent="0.2">
      <c r="A109" s="4"/>
      <c r="B109" s="311"/>
      <c r="C109" s="332"/>
      <c r="D109" s="333"/>
      <c r="E109" s="333"/>
      <c r="F109" s="333"/>
      <c r="G109" s="333"/>
      <c r="H109" s="333"/>
      <c r="I109" s="333"/>
      <c r="J109" s="333"/>
      <c r="K109" s="333"/>
      <c r="L109" s="333"/>
      <c r="M109" s="333"/>
      <c r="N109" s="333"/>
      <c r="O109" s="333"/>
      <c r="P109" s="333"/>
      <c r="Q109" s="333"/>
      <c r="R109" s="333"/>
      <c r="S109" s="333"/>
      <c r="T109" s="333"/>
      <c r="U109" s="333"/>
      <c r="V109" s="333"/>
      <c r="W109" s="333"/>
      <c r="X109" s="333"/>
    </row>
    <row r="110" spans="1:24" s="335" customFormat="1" x14ac:dyDescent="0.2">
      <c r="A110" s="4"/>
      <c r="B110" s="311"/>
      <c r="C110" s="332"/>
      <c r="D110" s="333"/>
      <c r="E110" s="333"/>
      <c r="F110" s="333"/>
      <c r="G110" s="333"/>
      <c r="H110" s="333"/>
      <c r="I110" s="333"/>
      <c r="J110" s="333"/>
      <c r="K110" s="333"/>
      <c r="L110" s="333"/>
      <c r="M110" s="333"/>
      <c r="N110" s="333"/>
      <c r="O110" s="333"/>
      <c r="P110" s="333"/>
      <c r="Q110" s="333"/>
      <c r="R110" s="333"/>
      <c r="S110" s="333"/>
      <c r="T110" s="333"/>
      <c r="U110" s="333"/>
      <c r="V110" s="333"/>
      <c r="W110" s="333"/>
      <c r="X110" s="333"/>
    </row>
    <row r="116" spans="1:24" s="335" customFormat="1" x14ac:dyDescent="0.2">
      <c r="A116" s="4"/>
      <c r="B116" s="311"/>
      <c r="C116" s="332"/>
      <c r="D116" s="333"/>
      <c r="E116" s="333"/>
      <c r="F116" s="333"/>
      <c r="G116" s="333"/>
      <c r="H116" s="333"/>
      <c r="I116" s="333"/>
      <c r="J116" s="333"/>
      <c r="K116" s="333"/>
      <c r="L116" s="333"/>
      <c r="M116" s="333"/>
      <c r="N116" s="333"/>
      <c r="O116" s="333"/>
      <c r="P116" s="333"/>
      <c r="Q116" s="333"/>
      <c r="R116" s="333"/>
      <c r="S116" s="333"/>
      <c r="T116" s="333"/>
      <c r="U116" s="333"/>
      <c r="V116" s="333"/>
      <c r="W116" s="333"/>
      <c r="X116" s="333"/>
    </row>
  </sheetData>
  <autoFilter ref="A3:W77" xr:uid="{C6BD7753-1DAA-4EA1-A123-637E1E4A1951}"/>
  <mergeCells count="1">
    <mergeCell ref="A1:W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2" fitToHeight="0" orientation="landscape" r:id="rId1"/>
  <ignoredErrors>
    <ignoredError sqref="F5:X7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A659D-C91E-4803-BE95-D0EA13BA48DB}">
  <sheetPr>
    <tabColor rgb="FF92D050"/>
  </sheetPr>
  <dimension ref="A1:AE199"/>
  <sheetViews>
    <sheetView workbookViewId="0">
      <selection sqref="A1:A2"/>
    </sheetView>
  </sheetViews>
  <sheetFormatPr defaultColWidth="9.140625" defaultRowHeight="12.75" x14ac:dyDescent="0.2"/>
  <cols>
    <col min="1" max="1" width="52.42578125" style="4" customWidth="1"/>
    <col min="2" max="30" width="14.7109375" style="14" customWidth="1"/>
    <col min="31" max="31" width="12.7109375" style="4" customWidth="1"/>
    <col min="32" max="16384" width="9.140625" style="4"/>
  </cols>
  <sheetData>
    <row r="1" spans="1:31" ht="21" customHeight="1" x14ac:dyDescent="0.2">
      <c r="A1" s="372" t="s">
        <v>0</v>
      </c>
      <c r="B1" s="71">
        <v>2018</v>
      </c>
      <c r="C1" s="71" t="s">
        <v>149</v>
      </c>
      <c r="D1" s="71" t="s">
        <v>147</v>
      </c>
      <c r="E1" s="71" t="s">
        <v>148</v>
      </c>
      <c r="F1" s="374" t="s">
        <v>113</v>
      </c>
      <c r="G1" s="368"/>
      <c r="H1" s="368"/>
      <c r="I1" s="368"/>
      <c r="J1" s="375"/>
      <c r="K1" s="367" t="s">
        <v>114</v>
      </c>
      <c r="L1" s="370"/>
      <c r="M1" s="371"/>
      <c r="N1" s="369"/>
      <c r="O1" s="367" t="s">
        <v>115</v>
      </c>
      <c r="P1" s="368"/>
      <c r="Q1" s="369"/>
      <c r="R1" s="367" t="s">
        <v>116</v>
      </c>
      <c r="S1" s="368"/>
      <c r="T1" s="368"/>
      <c r="U1" s="371"/>
      <c r="V1" s="139"/>
      <c r="W1" s="374" t="s">
        <v>204</v>
      </c>
      <c r="X1" s="375"/>
      <c r="Y1" s="368" t="s">
        <v>218</v>
      </c>
      <c r="Z1" s="368"/>
      <c r="AA1" s="376"/>
      <c r="AB1" s="374" t="s">
        <v>219</v>
      </c>
      <c r="AC1" s="368"/>
      <c r="AD1" s="376"/>
    </row>
    <row r="2" spans="1:31" ht="25.5" x14ac:dyDescent="0.2">
      <c r="A2" s="373"/>
      <c r="B2" s="21"/>
      <c r="C2" s="21"/>
      <c r="D2" s="21"/>
      <c r="E2" s="21"/>
      <c r="F2" s="21" t="s">
        <v>143</v>
      </c>
      <c r="G2" s="75" t="s">
        <v>36</v>
      </c>
      <c r="H2" s="5" t="s">
        <v>152</v>
      </c>
      <c r="I2" s="57" t="s">
        <v>139</v>
      </c>
      <c r="J2" s="22" t="s">
        <v>140</v>
      </c>
      <c r="K2" s="21" t="s">
        <v>143</v>
      </c>
      <c r="L2" s="5" t="s">
        <v>152</v>
      </c>
      <c r="M2" s="57" t="s">
        <v>139</v>
      </c>
      <c r="N2" s="22" t="s">
        <v>140</v>
      </c>
      <c r="O2" s="5" t="s">
        <v>152</v>
      </c>
      <c r="P2" s="57" t="s">
        <v>139</v>
      </c>
      <c r="Q2" s="22" t="s">
        <v>140</v>
      </c>
      <c r="R2" s="5" t="s">
        <v>152</v>
      </c>
      <c r="S2" s="57" t="s">
        <v>139</v>
      </c>
      <c r="T2" s="140" t="s">
        <v>214</v>
      </c>
      <c r="U2" s="57" t="s">
        <v>140</v>
      </c>
      <c r="V2" s="140" t="s">
        <v>213</v>
      </c>
      <c r="W2" s="167" t="s">
        <v>214</v>
      </c>
      <c r="X2" s="168" t="s">
        <v>213</v>
      </c>
      <c r="Y2" s="158" t="s">
        <v>220</v>
      </c>
      <c r="Z2" s="140" t="s">
        <v>214</v>
      </c>
      <c r="AA2" s="140" t="s">
        <v>213</v>
      </c>
      <c r="AB2" s="21" t="s">
        <v>220</v>
      </c>
      <c r="AC2" s="140" t="s">
        <v>214</v>
      </c>
      <c r="AD2" s="140" t="s">
        <v>213</v>
      </c>
    </row>
    <row r="3" spans="1:31" s="37" customFormat="1" x14ac:dyDescent="0.2">
      <c r="A3" s="128" t="s">
        <v>94</v>
      </c>
      <c r="B3" s="43"/>
      <c r="C3" s="43"/>
      <c r="D3" s="43"/>
      <c r="E3" s="43"/>
      <c r="F3" s="43"/>
      <c r="G3" s="44"/>
      <c r="H3" s="45"/>
      <c r="I3" s="58">
        <v>43590</v>
      </c>
      <c r="J3" s="46"/>
      <c r="K3" s="43"/>
      <c r="L3" s="45"/>
      <c r="M3" s="45">
        <v>9800</v>
      </c>
      <c r="N3" s="46">
        <v>53390</v>
      </c>
      <c r="O3" s="43"/>
      <c r="P3" s="45"/>
      <c r="Q3" s="46"/>
      <c r="R3" s="43"/>
      <c r="S3" s="55"/>
      <c r="T3" s="55"/>
      <c r="U3" s="58"/>
      <c r="V3" s="55"/>
      <c r="W3" s="43"/>
      <c r="X3" s="46"/>
      <c r="Y3" s="146"/>
      <c r="Z3" s="45"/>
      <c r="AA3" s="45"/>
      <c r="AB3" s="43"/>
      <c r="AC3" s="45"/>
      <c r="AD3" s="45"/>
      <c r="AE3" s="101">
        <f t="shared" ref="AE3:AE33" si="0">C3+D3+I3+M3+P3+S3-E3-J3-N3-Q3-U3</f>
        <v>0</v>
      </c>
    </row>
    <row r="4" spans="1:31" s="37" customFormat="1" x14ac:dyDescent="0.2">
      <c r="A4" s="122" t="s">
        <v>95</v>
      </c>
      <c r="B4" s="43"/>
      <c r="C4" s="43"/>
      <c r="D4" s="43"/>
      <c r="E4" s="43"/>
      <c r="F4" s="43"/>
      <c r="G4" s="44"/>
      <c r="H4" s="45"/>
      <c r="I4" s="58"/>
      <c r="J4" s="46"/>
      <c r="K4" s="43"/>
      <c r="L4" s="45"/>
      <c r="M4" s="120"/>
      <c r="N4" s="46"/>
      <c r="O4" s="43"/>
      <c r="P4" s="120">
        <v>37000</v>
      </c>
      <c r="Q4" s="121"/>
      <c r="R4" s="43"/>
      <c r="S4" s="55"/>
      <c r="T4" s="70">
        <v>128000</v>
      </c>
      <c r="U4" s="123">
        <v>37000</v>
      </c>
      <c r="V4" s="124"/>
      <c r="W4" s="43">
        <v>60500</v>
      </c>
      <c r="X4" s="46">
        <v>128000</v>
      </c>
      <c r="Y4" s="146"/>
      <c r="Z4" s="45"/>
      <c r="AA4" s="45">
        <v>60500</v>
      </c>
      <c r="AB4" s="43"/>
      <c r="AC4" s="45"/>
      <c r="AD4" s="45"/>
      <c r="AE4" s="101">
        <f t="shared" si="0"/>
        <v>0</v>
      </c>
    </row>
    <row r="5" spans="1:31" s="37" customFormat="1" x14ac:dyDescent="0.2">
      <c r="A5" s="38" t="s">
        <v>202</v>
      </c>
      <c r="B5" s="43"/>
      <c r="C5" s="43"/>
      <c r="D5" s="43"/>
      <c r="E5" s="43"/>
      <c r="F5" s="43"/>
      <c r="G5" s="44"/>
      <c r="H5" s="45"/>
      <c r="I5" s="58"/>
      <c r="J5" s="46"/>
      <c r="K5" s="43"/>
      <c r="L5" s="45"/>
      <c r="M5" s="45">
        <v>24000</v>
      </c>
      <c r="N5" s="46"/>
      <c r="O5" s="43"/>
      <c r="P5" s="120">
        <v>70500</v>
      </c>
      <c r="Q5" s="121">
        <v>24000</v>
      </c>
      <c r="R5" s="43"/>
      <c r="S5" s="55"/>
      <c r="T5" s="70">
        <v>75700</v>
      </c>
      <c r="U5" s="123">
        <v>70500</v>
      </c>
      <c r="V5" s="124"/>
      <c r="W5" s="43">
        <v>86000</v>
      </c>
      <c r="X5" s="46">
        <v>75700</v>
      </c>
      <c r="Y5" s="146"/>
      <c r="Z5" s="45"/>
      <c r="AA5" s="45">
        <v>86000</v>
      </c>
      <c r="AB5" s="43"/>
      <c r="AC5" s="45"/>
      <c r="AD5" s="45"/>
      <c r="AE5" s="101">
        <f t="shared" si="0"/>
        <v>0</v>
      </c>
    </row>
    <row r="6" spans="1:31" s="37" customFormat="1" ht="25.5" x14ac:dyDescent="0.2">
      <c r="A6" s="128" t="s">
        <v>96</v>
      </c>
      <c r="B6" s="43"/>
      <c r="C6" s="43"/>
      <c r="D6" s="43"/>
      <c r="E6" s="43"/>
      <c r="F6" s="43"/>
      <c r="G6" s="44"/>
      <c r="H6" s="45"/>
      <c r="I6" s="58">
        <v>0</v>
      </c>
      <c r="J6" s="46"/>
      <c r="K6" s="43"/>
      <c r="L6" s="45"/>
      <c r="M6" s="45">
        <v>61600</v>
      </c>
      <c r="N6" s="46">
        <v>0</v>
      </c>
      <c r="O6" s="43"/>
      <c r="P6" s="45"/>
      <c r="Q6" s="46">
        <v>61600</v>
      </c>
      <c r="R6" s="43"/>
      <c r="S6" s="55"/>
      <c r="T6" s="55"/>
      <c r="U6" s="58"/>
      <c r="V6" s="55"/>
      <c r="W6" s="43"/>
      <c r="X6" s="46"/>
      <c r="Y6" s="146"/>
      <c r="Z6" s="45"/>
      <c r="AA6" s="45"/>
      <c r="AB6" s="43"/>
      <c r="AC6" s="45"/>
      <c r="AD6" s="45"/>
      <c r="AE6" s="101">
        <f t="shared" si="0"/>
        <v>0</v>
      </c>
    </row>
    <row r="7" spans="1:31" s="37" customFormat="1" x14ac:dyDescent="0.2">
      <c r="A7" s="128" t="s">
        <v>97</v>
      </c>
      <c r="B7" s="43"/>
      <c r="C7" s="43">
        <v>49967.695000000007</v>
      </c>
      <c r="D7" s="43"/>
      <c r="E7" s="43">
        <v>49812.41</v>
      </c>
      <c r="F7" s="43"/>
      <c r="G7" s="44"/>
      <c r="H7" s="45"/>
      <c r="I7" s="58"/>
      <c r="J7" s="46"/>
      <c r="K7" s="43"/>
      <c r="L7" s="45"/>
      <c r="M7" s="45"/>
      <c r="N7" s="46"/>
      <c r="O7" s="43"/>
      <c r="P7" s="45"/>
      <c r="Q7" s="46"/>
      <c r="R7" s="43"/>
      <c r="S7" s="55"/>
      <c r="T7" s="55"/>
      <c r="U7" s="58"/>
      <c r="V7" s="55"/>
      <c r="W7" s="43"/>
      <c r="X7" s="46"/>
      <c r="Y7" s="146"/>
      <c r="Z7" s="45"/>
      <c r="AA7" s="45"/>
      <c r="AB7" s="43"/>
      <c r="AC7" s="45"/>
      <c r="AD7" s="45"/>
      <c r="AE7" s="101">
        <f t="shared" si="0"/>
        <v>155.28500000000349</v>
      </c>
    </row>
    <row r="8" spans="1:31" s="37" customFormat="1" x14ac:dyDescent="0.2">
      <c r="A8" s="128" t="s">
        <v>37</v>
      </c>
      <c r="B8" s="43"/>
      <c r="C8" s="43"/>
      <c r="D8" s="43">
        <v>26008.13</v>
      </c>
      <c r="E8" s="43"/>
      <c r="F8" s="43"/>
      <c r="G8" s="44"/>
      <c r="H8" s="45"/>
      <c r="I8" s="58"/>
      <c r="J8" s="46">
        <v>25956.75</v>
      </c>
      <c r="K8" s="43"/>
      <c r="L8" s="45"/>
      <c r="M8" s="45"/>
      <c r="N8" s="46"/>
      <c r="O8" s="43"/>
      <c r="P8" s="45"/>
      <c r="Q8" s="46"/>
      <c r="R8" s="43"/>
      <c r="S8" s="55"/>
      <c r="T8" s="55"/>
      <c r="U8" s="58"/>
      <c r="V8" s="55"/>
      <c r="W8" s="43"/>
      <c r="X8" s="46"/>
      <c r="Y8" s="146"/>
      <c r="Z8" s="45"/>
      <c r="AA8" s="45"/>
      <c r="AB8" s="43"/>
      <c r="AC8" s="45"/>
      <c r="AD8" s="45"/>
      <c r="AE8" s="101">
        <f t="shared" si="0"/>
        <v>51.380000000001019</v>
      </c>
    </row>
    <row r="9" spans="1:31" s="37" customFormat="1" x14ac:dyDescent="0.2">
      <c r="A9" s="128" t="s">
        <v>39</v>
      </c>
      <c r="B9" s="43"/>
      <c r="C9" s="43">
        <v>28740.21488</v>
      </c>
      <c r="D9" s="43"/>
      <c r="E9" s="43">
        <v>28692.21</v>
      </c>
      <c r="F9" s="43"/>
      <c r="G9" s="44"/>
      <c r="H9" s="45"/>
      <c r="I9" s="58"/>
      <c r="J9" s="46"/>
      <c r="K9" s="43"/>
      <c r="L9" s="45"/>
      <c r="M9" s="45"/>
      <c r="N9" s="46"/>
      <c r="O9" s="43"/>
      <c r="P9" s="45"/>
      <c r="Q9" s="46"/>
      <c r="R9" s="43"/>
      <c r="S9" s="55"/>
      <c r="T9" s="55"/>
      <c r="U9" s="58"/>
      <c r="V9" s="55"/>
      <c r="W9" s="43"/>
      <c r="X9" s="46"/>
      <c r="Y9" s="146"/>
      <c r="Z9" s="45"/>
      <c r="AA9" s="45"/>
      <c r="AB9" s="43"/>
      <c r="AC9" s="45"/>
      <c r="AD9" s="45"/>
      <c r="AE9" s="101">
        <f t="shared" si="0"/>
        <v>48.004880000000412</v>
      </c>
    </row>
    <row r="10" spans="1:31" s="37" customFormat="1" x14ac:dyDescent="0.2">
      <c r="A10" s="128" t="s">
        <v>142</v>
      </c>
      <c r="B10" s="43"/>
      <c r="C10" s="43">
        <v>92990.592149999997</v>
      </c>
      <c r="D10" s="43">
        <v>35376.769999999997</v>
      </c>
      <c r="E10" s="43"/>
      <c r="F10" s="43"/>
      <c r="G10" s="44"/>
      <c r="H10" s="45"/>
      <c r="I10" s="58"/>
      <c r="J10" s="46">
        <v>128368</v>
      </c>
      <c r="K10" s="43"/>
      <c r="L10" s="45"/>
      <c r="M10" s="45"/>
      <c r="N10" s="46"/>
      <c r="O10" s="43"/>
      <c r="P10" s="45"/>
      <c r="Q10" s="46"/>
      <c r="R10" s="43"/>
      <c r="S10" s="55"/>
      <c r="T10" s="55"/>
      <c r="U10" s="58"/>
      <c r="V10" s="55"/>
      <c r="W10" s="43"/>
      <c r="X10" s="46"/>
      <c r="Y10" s="146"/>
      <c r="Z10" s="45"/>
      <c r="AA10" s="45"/>
      <c r="AB10" s="43"/>
      <c r="AC10" s="45"/>
      <c r="AD10" s="45"/>
      <c r="AE10" s="101">
        <f t="shared" si="0"/>
        <v>-0.63784999999916181</v>
      </c>
    </row>
    <row r="11" spans="1:31" s="37" customFormat="1" ht="25.5" x14ac:dyDescent="0.2">
      <c r="A11" s="128" t="s">
        <v>38</v>
      </c>
      <c r="B11" s="43"/>
      <c r="C11" s="43">
        <v>31682.355830000008</v>
      </c>
      <c r="D11" s="43">
        <v>33997.089999999997</v>
      </c>
      <c r="E11" s="43"/>
      <c r="F11" s="43"/>
      <c r="G11" s="44"/>
      <c r="H11" s="45"/>
      <c r="I11" s="58"/>
      <c r="J11" s="46">
        <v>65679.45</v>
      </c>
      <c r="K11" s="43"/>
      <c r="L11" s="45"/>
      <c r="M11" s="45"/>
      <c r="N11" s="46"/>
      <c r="O11" s="43"/>
      <c r="P11" s="45"/>
      <c r="Q11" s="46"/>
      <c r="R11" s="43"/>
      <c r="S11" s="55"/>
      <c r="T11" s="55"/>
      <c r="U11" s="58"/>
      <c r="V11" s="55"/>
      <c r="W11" s="43"/>
      <c r="X11" s="46"/>
      <c r="Y11" s="146"/>
      <c r="Z11" s="45"/>
      <c r="AA11" s="45"/>
      <c r="AB11" s="43"/>
      <c r="AC11" s="45"/>
      <c r="AD11" s="45"/>
      <c r="AE11" s="101">
        <f t="shared" si="0"/>
        <v>-4.1699999856064096E-3</v>
      </c>
    </row>
    <row r="12" spans="1:31" s="37" customFormat="1" ht="25.5" x14ac:dyDescent="0.2">
      <c r="A12" s="128" t="s">
        <v>40</v>
      </c>
      <c r="B12" s="43"/>
      <c r="C12" s="43">
        <v>61875.870090000004</v>
      </c>
      <c r="D12" s="43">
        <v>20356.8</v>
      </c>
      <c r="E12" s="43">
        <v>82232.67</v>
      </c>
      <c r="F12" s="43"/>
      <c r="G12" s="44"/>
      <c r="H12" s="45"/>
      <c r="I12" s="58"/>
      <c r="J12" s="46"/>
      <c r="K12" s="43"/>
      <c r="L12" s="45"/>
      <c r="M12" s="45"/>
      <c r="N12" s="46"/>
      <c r="O12" s="43"/>
      <c r="P12" s="45"/>
      <c r="Q12" s="46"/>
      <c r="R12" s="43"/>
      <c r="S12" s="55"/>
      <c r="T12" s="55"/>
      <c r="U12" s="58"/>
      <c r="V12" s="55"/>
      <c r="W12" s="43"/>
      <c r="X12" s="46"/>
      <c r="Y12" s="146"/>
      <c r="Z12" s="45"/>
      <c r="AA12" s="45"/>
      <c r="AB12" s="43"/>
      <c r="AC12" s="45"/>
      <c r="AD12" s="45"/>
      <c r="AE12" s="101">
        <f t="shared" si="0"/>
        <v>9.0000001364387572E-5</v>
      </c>
    </row>
    <row r="13" spans="1:31" s="37" customFormat="1" ht="25.5" x14ac:dyDescent="0.2">
      <c r="A13" s="128" t="s">
        <v>41</v>
      </c>
      <c r="B13" s="43"/>
      <c r="C13" s="43"/>
      <c r="D13" s="43">
        <v>190.46</v>
      </c>
      <c r="E13" s="43"/>
      <c r="F13" s="43"/>
      <c r="G13" s="44"/>
      <c r="H13" s="45"/>
      <c r="I13" s="58">
        <v>37759.83</v>
      </c>
      <c r="J13" s="46">
        <v>0</v>
      </c>
      <c r="K13" s="43"/>
      <c r="L13" s="45"/>
      <c r="M13" s="45">
        <v>5071</v>
      </c>
      <c r="N13" s="46">
        <v>43022</v>
      </c>
      <c r="O13" s="43"/>
      <c r="P13" s="45"/>
      <c r="Q13" s="46"/>
      <c r="R13" s="43"/>
      <c r="S13" s="55"/>
      <c r="T13" s="55"/>
      <c r="U13" s="58"/>
      <c r="V13" s="55"/>
      <c r="W13" s="43"/>
      <c r="X13" s="46"/>
      <c r="Y13" s="146"/>
      <c r="Z13" s="45"/>
      <c r="AA13" s="45"/>
      <c r="AB13" s="43"/>
      <c r="AC13" s="45"/>
      <c r="AD13" s="45"/>
      <c r="AE13" s="101">
        <f t="shared" si="0"/>
        <v>-0.70999999999912689</v>
      </c>
    </row>
    <row r="14" spans="1:31" s="37" customFormat="1" ht="25.5" x14ac:dyDescent="0.2">
      <c r="A14" s="128" t="s">
        <v>43</v>
      </c>
      <c r="B14" s="43"/>
      <c r="C14" s="43"/>
      <c r="D14" s="43"/>
      <c r="E14" s="43"/>
      <c r="F14" s="43"/>
      <c r="G14" s="44"/>
      <c r="H14" s="45"/>
      <c r="I14" s="58">
        <v>44419.3</v>
      </c>
      <c r="J14" s="46"/>
      <c r="K14" s="43"/>
      <c r="L14" s="45"/>
      <c r="M14" s="45">
        <v>28620</v>
      </c>
      <c r="N14" s="46">
        <v>73040</v>
      </c>
      <c r="O14" s="43"/>
      <c r="P14" s="45"/>
      <c r="Q14" s="46"/>
      <c r="R14" s="43"/>
      <c r="S14" s="55"/>
      <c r="T14" s="55"/>
      <c r="U14" s="58"/>
      <c r="V14" s="55"/>
      <c r="W14" s="43"/>
      <c r="X14" s="46"/>
      <c r="Y14" s="146"/>
      <c r="Z14" s="45"/>
      <c r="AA14" s="45"/>
      <c r="AB14" s="43"/>
      <c r="AC14" s="45"/>
      <c r="AD14" s="45"/>
      <c r="AE14" s="101">
        <f t="shared" si="0"/>
        <v>-0.69999999999708962</v>
      </c>
    </row>
    <row r="15" spans="1:31" s="37" customFormat="1" ht="25.5" x14ac:dyDescent="0.2">
      <c r="A15" s="128" t="s">
        <v>42</v>
      </c>
      <c r="B15" s="43"/>
      <c r="C15" s="43">
        <v>50463.757810000003</v>
      </c>
      <c r="D15" s="43"/>
      <c r="E15" s="43">
        <v>46106.89</v>
      </c>
      <c r="F15" s="43"/>
      <c r="G15" s="44"/>
      <c r="H15" s="45"/>
      <c r="I15" s="58"/>
      <c r="J15" s="46"/>
      <c r="K15" s="43"/>
      <c r="L15" s="45"/>
      <c r="M15" s="45"/>
      <c r="N15" s="46"/>
      <c r="O15" s="43"/>
      <c r="P15" s="45"/>
      <c r="Q15" s="46"/>
      <c r="R15" s="43"/>
      <c r="S15" s="55"/>
      <c r="T15" s="55"/>
      <c r="U15" s="58"/>
      <c r="V15" s="55"/>
      <c r="W15" s="43"/>
      <c r="X15" s="46"/>
      <c r="Y15" s="146"/>
      <c r="Z15" s="45"/>
      <c r="AA15" s="45"/>
      <c r="AB15" s="43"/>
      <c r="AC15" s="45"/>
      <c r="AD15" s="45"/>
      <c r="AE15" s="101">
        <f t="shared" si="0"/>
        <v>4356.8678100000034</v>
      </c>
    </row>
    <row r="16" spans="1:31" s="37" customFormat="1" x14ac:dyDescent="0.2">
      <c r="A16" s="128" t="s">
        <v>195</v>
      </c>
      <c r="B16" s="43"/>
      <c r="C16" s="43">
        <v>12</v>
      </c>
      <c r="D16" s="43"/>
      <c r="E16" s="43"/>
      <c r="F16" s="43"/>
      <c r="G16" s="44"/>
      <c r="H16" s="45"/>
      <c r="I16" s="58"/>
      <c r="J16" s="46"/>
      <c r="K16" s="43"/>
      <c r="L16" s="45"/>
      <c r="M16" s="45"/>
      <c r="N16" s="46"/>
      <c r="O16" s="43"/>
      <c r="P16" s="45"/>
      <c r="Q16" s="46"/>
      <c r="R16" s="43"/>
      <c r="S16" s="55"/>
      <c r="T16" s="55"/>
      <c r="U16" s="58"/>
      <c r="V16" s="55"/>
      <c r="W16" s="43"/>
      <c r="X16" s="46"/>
      <c r="Y16" s="146"/>
      <c r="Z16" s="45"/>
      <c r="AA16" s="45"/>
      <c r="AB16" s="43"/>
      <c r="AC16" s="45"/>
      <c r="AD16" s="45"/>
      <c r="AE16" s="101">
        <f t="shared" si="0"/>
        <v>12</v>
      </c>
    </row>
    <row r="17" spans="1:31" s="37" customFormat="1" x14ac:dyDescent="0.2">
      <c r="A17" s="128" t="s">
        <v>44</v>
      </c>
      <c r="B17" s="43"/>
      <c r="C17" s="43"/>
      <c r="D17" s="43"/>
      <c r="E17" s="43"/>
      <c r="F17" s="43"/>
      <c r="G17" s="44"/>
      <c r="H17" s="45"/>
      <c r="I17" s="58">
        <v>38810.980000000003</v>
      </c>
      <c r="J17" s="46">
        <v>38810.980000000003</v>
      </c>
      <c r="K17" s="43"/>
      <c r="L17" s="45"/>
      <c r="M17" s="45"/>
      <c r="N17" s="46"/>
      <c r="O17" s="43"/>
      <c r="P17" s="45"/>
      <c r="Q17" s="46"/>
      <c r="R17" s="43"/>
      <c r="S17" s="55"/>
      <c r="T17" s="55"/>
      <c r="U17" s="58"/>
      <c r="V17" s="55"/>
      <c r="W17" s="43"/>
      <c r="X17" s="46"/>
      <c r="Y17" s="146"/>
      <c r="Z17" s="45"/>
      <c r="AA17" s="45"/>
      <c r="AB17" s="43"/>
      <c r="AC17" s="45"/>
      <c r="AD17" s="45"/>
      <c r="AE17" s="101">
        <f t="shared" si="0"/>
        <v>0</v>
      </c>
    </row>
    <row r="18" spans="1:31" s="37" customFormat="1" x14ac:dyDescent="0.2">
      <c r="A18" s="128" t="s">
        <v>45</v>
      </c>
      <c r="B18" s="43"/>
      <c r="C18" s="43"/>
      <c r="D18" s="43">
        <v>27498.560000000001</v>
      </c>
      <c r="E18" s="43"/>
      <c r="F18" s="43"/>
      <c r="G18" s="44"/>
      <c r="H18" s="45"/>
      <c r="I18" s="58">
        <v>1265.94</v>
      </c>
      <c r="J18" s="46">
        <v>28764.5</v>
      </c>
      <c r="K18" s="43"/>
      <c r="L18" s="45"/>
      <c r="M18" s="45"/>
      <c r="N18" s="46"/>
      <c r="O18" s="43"/>
      <c r="P18" s="45"/>
      <c r="Q18" s="46"/>
      <c r="R18" s="43"/>
      <c r="S18" s="55"/>
      <c r="T18" s="55"/>
      <c r="U18" s="58"/>
      <c r="V18" s="55"/>
      <c r="W18" s="43"/>
      <c r="X18" s="46"/>
      <c r="Y18" s="146"/>
      <c r="Z18" s="45"/>
      <c r="AA18" s="45"/>
      <c r="AB18" s="43"/>
      <c r="AC18" s="45"/>
      <c r="AD18" s="45"/>
      <c r="AE18" s="101">
        <f t="shared" si="0"/>
        <v>0</v>
      </c>
    </row>
    <row r="19" spans="1:31" s="37" customFormat="1" ht="25.5" x14ac:dyDescent="0.2">
      <c r="A19" s="122" t="s">
        <v>46</v>
      </c>
      <c r="B19" s="43"/>
      <c r="C19" s="43"/>
      <c r="D19" s="43"/>
      <c r="E19" s="43"/>
      <c r="F19" s="43"/>
      <c r="G19" s="44"/>
      <c r="H19" s="45"/>
      <c r="I19" s="58"/>
      <c r="J19" s="46"/>
      <c r="K19" s="43"/>
      <c r="L19" s="45"/>
      <c r="M19" s="45"/>
      <c r="N19" s="46"/>
      <c r="O19" s="43">
        <v>75300</v>
      </c>
      <c r="P19" s="120"/>
      <c r="Q19" s="121"/>
      <c r="R19" s="43"/>
      <c r="S19" s="55"/>
      <c r="T19" s="55"/>
      <c r="U19" s="58"/>
      <c r="V19" s="55"/>
      <c r="W19" s="43"/>
      <c r="X19" s="46"/>
      <c r="Y19" s="146"/>
      <c r="Z19" s="45"/>
      <c r="AA19" s="45"/>
      <c r="AB19" s="43"/>
      <c r="AC19" s="45"/>
      <c r="AD19" s="45"/>
      <c r="AE19" s="101">
        <f t="shared" si="0"/>
        <v>0</v>
      </c>
    </row>
    <row r="20" spans="1:31" s="37" customFormat="1" x14ac:dyDescent="0.2">
      <c r="A20" s="128" t="s">
        <v>47</v>
      </c>
      <c r="B20" s="43"/>
      <c r="C20" s="43"/>
      <c r="D20" s="43"/>
      <c r="E20" s="43"/>
      <c r="F20" s="43"/>
      <c r="G20" s="44"/>
      <c r="H20" s="45"/>
      <c r="I20" s="58">
        <v>38440.6</v>
      </c>
      <c r="J20" s="46"/>
      <c r="K20" s="43"/>
      <c r="L20" s="45"/>
      <c r="M20" s="45">
        <v>56838</v>
      </c>
      <c r="N20" s="46"/>
      <c r="O20" s="43"/>
      <c r="P20" s="45"/>
      <c r="Q20" s="46">
        <v>95278</v>
      </c>
      <c r="R20" s="43"/>
      <c r="S20" s="55"/>
      <c r="T20" s="55"/>
      <c r="U20" s="58"/>
      <c r="V20" s="55"/>
      <c r="W20" s="43"/>
      <c r="X20" s="46"/>
      <c r="Y20" s="146"/>
      <c r="Z20" s="45"/>
      <c r="AA20" s="45"/>
      <c r="AB20" s="43"/>
      <c r="AC20" s="45"/>
      <c r="AD20" s="45"/>
      <c r="AE20" s="101">
        <f t="shared" si="0"/>
        <v>0.60000000000582077</v>
      </c>
    </row>
    <row r="21" spans="1:31" s="37" customFormat="1" x14ac:dyDescent="0.2">
      <c r="A21" s="128" t="s">
        <v>48</v>
      </c>
      <c r="B21" s="43"/>
      <c r="C21" s="43"/>
      <c r="D21" s="43"/>
      <c r="E21" s="43"/>
      <c r="F21" s="43"/>
      <c r="G21" s="44"/>
      <c r="H21" s="45"/>
      <c r="I21" s="58"/>
      <c r="J21" s="46"/>
      <c r="K21" s="43"/>
      <c r="L21" s="45"/>
      <c r="M21" s="45">
        <v>34440</v>
      </c>
      <c r="N21" s="46">
        <v>0</v>
      </c>
      <c r="O21" s="43"/>
      <c r="P21" s="45"/>
      <c r="Q21" s="46">
        <v>34440</v>
      </c>
      <c r="R21" s="43"/>
      <c r="S21" s="55"/>
      <c r="T21" s="55"/>
      <c r="U21" s="58"/>
      <c r="V21" s="55"/>
      <c r="W21" s="43"/>
      <c r="X21" s="46"/>
      <c r="Y21" s="146"/>
      <c r="Z21" s="45"/>
      <c r="AA21" s="45"/>
      <c r="AB21" s="43"/>
      <c r="AC21" s="45"/>
      <c r="AD21" s="45"/>
      <c r="AE21" s="101">
        <f t="shared" si="0"/>
        <v>0</v>
      </c>
    </row>
    <row r="22" spans="1:31" s="37" customFormat="1" ht="25.5" x14ac:dyDescent="0.2">
      <c r="A22" s="122" t="s">
        <v>49</v>
      </c>
      <c r="B22" s="43"/>
      <c r="C22" s="43"/>
      <c r="D22" s="43"/>
      <c r="E22" s="43"/>
      <c r="F22" s="43"/>
      <c r="G22" s="44"/>
      <c r="H22" s="45"/>
      <c r="I22" s="58"/>
      <c r="J22" s="46"/>
      <c r="K22" s="43"/>
      <c r="L22" s="45"/>
      <c r="M22" s="45"/>
      <c r="N22" s="46"/>
      <c r="O22" s="43"/>
      <c r="P22" s="120"/>
      <c r="Q22" s="121"/>
      <c r="R22" s="43"/>
      <c r="S22" s="55"/>
      <c r="T22" s="55"/>
      <c r="U22" s="58"/>
      <c r="V22" s="55"/>
      <c r="W22" s="43"/>
      <c r="X22" s="46"/>
      <c r="Y22" s="146"/>
      <c r="Z22" s="45"/>
      <c r="AA22" s="45"/>
      <c r="AB22" s="43"/>
      <c r="AC22" s="45"/>
      <c r="AD22" s="45"/>
      <c r="AE22" s="101">
        <f t="shared" si="0"/>
        <v>0</v>
      </c>
    </row>
    <row r="23" spans="1:31" s="37" customFormat="1" ht="38.25" x14ac:dyDescent="0.2">
      <c r="A23" s="122" t="s">
        <v>50</v>
      </c>
      <c r="B23" s="43"/>
      <c r="C23" s="43"/>
      <c r="D23" s="43"/>
      <c r="E23" s="43"/>
      <c r="F23" s="43"/>
      <c r="G23" s="44"/>
      <c r="H23" s="45"/>
      <c r="I23" s="58"/>
      <c r="J23" s="46"/>
      <c r="K23" s="43"/>
      <c r="L23" s="45"/>
      <c r="M23" s="45"/>
      <c r="N23" s="46"/>
      <c r="O23" s="43"/>
      <c r="P23" s="120"/>
      <c r="Q23" s="121"/>
      <c r="R23" s="43"/>
      <c r="S23" s="55"/>
      <c r="T23" s="55"/>
      <c r="U23" s="58"/>
      <c r="V23" s="55"/>
      <c r="W23" s="43"/>
      <c r="X23" s="46"/>
      <c r="Y23" s="146"/>
      <c r="Z23" s="45"/>
      <c r="AA23" s="45"/>
      <c r="AB23" s="43"/>
      <c r="AC23" s="45"/>
      <c r="AD23" s="45"/>
      <c r="AE23" s="101">
        <f t="shared" si="0"/>
        <v>0</v>
      </c>
    </row>
    <row r="24" spans="1:31" s="37" customFormat="1" ht="25.5" x14ac:dyDescent="0.2">
      <c r="A24" s="122" t="s">
        <v>51</v>
      </c>
      <c r="B24" s="43"/>
      <c r="C24" s="43"/>
      <c r="D24" s="43"/>
      <c r="E24" s="43"/>
      <c r="F24" s="43"/>
      <c r="G24" s="44"/>
      <c r="H24" s="45"/>
      <c r="I24" s="58"/>
      <c r="J24" s="46"/>
      <c r="K24" s="43"/>
      <c r="L24" s="45"/>
      <c r="M24" s="45"/>
      <c r="N24" s="46"/>
      <c r="O24" s="43"/>
      <c r="P24" s="120"/>
      <c r="Q24" s="121"/>
      <c r="R24" s="43"/>
      <c r="S24" s="55"/>
      <c r="T24" s="55"/>
      <c r="U24" s="58"/>
      <c r="V24" s="55"/>
      <c r="W24" s="43"/>
      <c r="X24" s="46"/>
      <c r="Y24" s="146"/>
      <c r="Z24" s="45"/>
      <c r="AA24" s="45"/>
      <c r="AB24" s="43"/>
      <c r="AC24" s="45"/>
      <c r="AD24" s="45"/>
      <c r="AE24" s="101">
        <f t="shared" si="0"/>
        <v>0</v>
      </c>
    </row>
    <row r="25" spans="1:31" s="37" customFormat="1" ht="25.5" x14ac:dyDescent="0.2">
      <c r="A25" s="122" t="s">
        <v>52</v>
      </c>
      <c r="B25" s="43"/>
      <c r="C25" s="43"/>
      <c r="D25" s="43"/>
      <c r="E25" s="43"/>
      <c r="F25" s="43"/>
      <c r="G25" s="44"/>
      <c r="H25" s="45"/>
      <c r="I25" s="58">
        <v>0</v>
      </c>
      <c r="J25" s="46"/>
      <c r="K25" s="43"/>
      <c r="L25" s="45"/>
      <c r="M25" s="45"/>
      <c r="N25" s="46"/>
      <c r="O25" s="43"/>
      <c r="P25" s="120"/>
      <c r="Q25" s="121"/>
      <c r="R25" s="43"/>
      <c r="S25" s="55"/>
      <c r="T25" s="55"/>
      <c r="U25" s="58"/>
      <c r="V25" s="55"/>
      <c r="W25" s="43"/>
      <c r="X25" s="46"/>
      <c r="Y25" s="146"/>
      <c r="Z25" s="45"/>
      <c r="AA25" s="45"/>
      <c r="AB25" s="43"/>
      <c r="AC25" s="45"/>
      <c r="AD25" s="45"/>
      <c r="AE25" s="101">
        <f t="shared" si="0"/>
        <v>0</v>
      </c>
    </row>
    <row r="26" spans="1:31" s="37" customFormat="1" ht="25.5" x14ac:dyDescent="0.2">
      <c r="A26" s="122" t="s">
        <v>53</v>
      </c>
      <c r="B26" s="43"/>
      <c r="C26" s="43"/>
      <c r="D26" s="43"/>
      <c r="E26" s="43"/>
      <c r="F26" s="43"/>
      <c r="G26" s="44"/>
      <c r="H26" s="45"/>
      <c r="I26" s="58"/>
      <c r="J26" s="46"/>
      <c r="K26" s="43"/>
      <c r="L26" s="45"/>
      <c r="M26" s="45"/>
      <c r="N26" s="46"/>
      <c r="O26" s="43"/>
      <c r="P26" s="120"/>
      <c r="Q26" s="121"/>
      <c r="R26" s="43"/>
      <c r="S26" s="55"/>
      <c r="T26" s="55"/>
      <c r="U26" s="58"/>
      <c r="V26" s="55"/>
      <c r="W26" s="43"/>
      <c r="X26" s="46"/>
      <c r="Y26" s="146"/>
      <c r="Z26" s="45"/>
      <c r="AA26" s="45"/>
      <c r="AB26" s="43"/>
      <c r="AC26" s="45"/>
      <c r="AD26" s="45"/>
      <c r="AE26" s="101">
        <f t="shared" si="0"/>
        <v>0</v>
      </c>
    </row>
    <row r="27" spans="1:31" s="37" customFormat="1" ht="25.5" x14ac:dyDescent="0.2">
      <c r="A27" s="128" t="s">
        <v>54</v>
      </c>
      <c r="B27" s="43"/>
      <c r="C27" s="43"/>
      <c r="D27" s="43"/>
      <c r="E27" s="43"/>
      <c r="F27" s="43"/>
      <c r="G27" s="44"/>
      <c r="H27" s="45"/>
      <c r="I27" s="58"/>
      <c r="J27" s="46"/>
      <c r="K27" s="43"/>
      <c r="L27" s="45"/>
      <c r="M27" s="45">
        <v>109777</v>
      </c>
      <c r="N27" s="46"/>
      <c r="O27" s="43"/>
      <c r="P27" s="45">
        <v>0</v>
      </c>
      <c r="Q27" s="46">
        <v>109778</v>
      </c>
      <c r="R27" s="43"/>
      <c r="S27" s="55"/>
      <c r="T27" s="55"/>
      <c r="U27" s="58"/>
      <c r="V27" s="55"/>
      <c r="W27" s="43"/>
      <c r="X27" s="46"/>
      <c r="Y27" s="146"/>
      <c r="Z27" s="45"/>
      <c r="AA27" s="45"/>
      <c r="AB27" s="43"/>
      <c r="AC27" s="45"/>
      <c r="AD27" s="45"/>
      <c r="AE27" s="101">
        <f t="shared" si="0"/>
        <v>-1</v>
      </c>
    </row>
    <row r="28" spans="1:31" s="37" customFormat="1" ht="25.5" x14ac:dyDescent="0.2">
      <c r="A28" s="128" t="s">
        <v>55</v>
      </c>
      <c r="B28" s="43"/>
      <c r="C28" s="43"/>
      <c r="D28" s="43"/>
      <c r="E28" s="43"/>
      <c r="F28" s="43"/>
      <c r="G28" s="44"/>
      <c r="H28" s="45"/>
      <c r="I28" s="58">
        <v>42300</v>
      </c>
      <c r="J28" s="46"/>
      <c r="K28" s="43"/>
      <c r="L28" s="45"/>
      <c r="M28" s="45">
        <v>70091</v>
      </c>
      <c r="N28" s="46"/>
      <c r="O28" s="43"/>
      <c r="P28" s="45"/>
      <c r="Q28" s="46">
        <v>112391</v>
      </c>
      <c r="R28" s="43"/>
      <c r="S28" s="55"/>
      <c r="T28" s="55"/>
      <c r="U28" s="58"/>
      <c r="V28" s="55"/>
      <c r="W28" s="43"/>
      <c r="X28" s="46"/>
      <c r="Y28" s="146"/>
      <c r="Z28" s="45"/>
      <c r="AA28" s="45"/>
      <c r="AB28" s="43"/>
      <c r="AC28" s="45"/>
      <c r="AD28" s="45"/>
      <c r="AE28" s="101">
        <f t="shared" si="0"/>
        <v>0</v>
      </c>
    </row>
    <row r="29" spans="1:31" s="37" customFormat="1" ht="25.5" x14ac:dyDescent="0.2">
      <c r="A29" s="122" t="s">
        <v>56</v>
      </c>
      <c r="B29" s="43"/>
      <c r="C29" s="43"/>
      <c r="D29" s="43"/>
      <c r="E29" s="43"/>
      <c r="F29" s="43"/>
      <c r="G29" s="44"/>
      <c r="H29" s="45"/>
      <c r="I29" s="58"/>
      <c r="J29" s="46"/>
      <c r="K29" s="43"/>
      <c r="L29" s="45"/>
      <c r="M29" s="45"/>
      <c r="N29" s="46"/>
      <c r="O29" s="43"/>
      <c r="P29" s="120"/>
      <c r="Q29" s="121"/>
      <c r="R29" s="43"/>
      <c r="S29" s="55"/>
      <c r="T29" s="55"/>
      <c r="U29" s="58"/>
      <c r="V29" s="55"/>
      <c r="W29" s="43"/>
      <c r="X29" s="46"/>
      <c r="Y29" s="146"/>
      <c r="Z29" s="45"/>
      <c r="AA29" s="45"/>
      <c r="AB29" s="43"/>
      <c r="AC29" s="45"/>
      <c r="AD29" s="45"/>
      <c r="AE29" s="101">
        <f t="shared" si="0"/>
        <v>0</v>
      </c>
    </row>
    <row r="30" spans="1:31" s="37" customFormat="1" x14ac:dyDescent="0.2">
      <c r="A30" s="128" t="s">
        <v>57</v>
      </c>
      <c r="B30" s="43"/>
      <c r="C30" s="43"/>
      <c r="D30" s="43"/>
      <c r="E30" s="43"/>
      <c r="F30" s="43"/>
      <c r="G30" s="44"/>
      <c r="H30" s="45"/>
      <c r="I30" s="58">
        <v>0</v>
      </c>
      <c r="J30" s="46"/>
      <c r="K30" s="43"/>
      <c r="L30" s="45"/>
      <c r="M30" s="45">
        <v>102513</v>
      </c>
      <c r="N30" s="46"/>
      <c r="O30" s="43"/>
      <c r="P30" s="45">
        <v>0</v>
      </c>
      <c r="Q30" s="46">
        <v>102513</v>
      </c>
      <c r="R30" s="43"/>
      <c r="S30" s="55"/>
      <c r="T30" s="55"/>
      <c r="U30" s="58"/>
      <c r="V30" s="55"/>
      <c r="W30" s="43"/>
      <c r="X30" s="46"/>
      <c r="Y30" s="146"/>
      <c r="Z30" s="45"/>
      <c r="AA30" s="45"/>
      <c r="AB30" s="43"/>
      <c r="AC30" s="45"/>
      <c r="AD30" s="45"/>
      <c r="AE30" s="101">
        <f t="shared" si="0"/>
        <v>0</v>
      </c>
    </row>
    <row r="31" spans="1:31" s="37" customFormat="1" x14ac:dyDescent="0.2">
      <c r="A31" s="128" t="s">
        <v>58</v>
      </c>
      <c r="B31" s="43"/>
      <c r="C31" s="43"/>
      <c r="D31" s="43"/>
      <c r="E31" s="43"/>
      <c r="F31" s="43"/>
      <c r="G31" s="44"/>
      <c r="H31" s="45"/>
      <c r="I31" s="58">
        <v>3930</v>
      </c>
      <c r="J31" s="46"/>
      <c r="K31" s="43"/>
      <c r="L31" s="45"/>
      <c r="M31" s="45"/>
      <c r="N31" s="46">
        <v>3930</v>
      </c>
      <c r="O31" s="43"/>
      <c r="P31" s="45"/>
      <c r="Q31" s="46"/>
      <c r="R31" s="43"/>
      <c r="S31" s="55"/>
      <c r="T31" s="55"/>
      <c r="U31" s="58"/>
      <c r="V31" s="55"/>
      <c r="W31" s="43"/>
      <c r="X31" s="46"/>
      <c r="Y31" s="146"/>
      <c r="Z31" s="45"/>
      <c r="AA31" s="45"/>
      <c r="AB31" s="43"/>
      <c r="AC31" s="45"/>
      <c r="AD31" s="45"/>
      <c r="AE31" s="101">
        <f t="shared" si="0"/>
        <v>0</v>
      </c>
    </row>
    <row r="32" spans="1:31" s="37" customFormat="1" x14ac:dyDescent="0.2">
      <c r="A32" s="128" t="s">
        <v>59</v>
      </c>
      <c r="B32" s="43"/>
      <c r="C32" s="43"/>
      <c r="D32" s="43"/>
      <c r="E32" s="43"/>
      <c r="F32" s="43"/>
      <c r="G32" s="44"/>
      <c r="H32" s="45"/>
      <c r="I32" s="58">
        <v>3273</v>
      </c>
      <c r="J32" s="46"/>
      <c r="K32" s="43"/>
      <c r="L32" s="45"/>
      <c r="M32" s="45"/>
      <c r="N32" s="46">
        <v>3273</v>
      </c>
      <c r="O32" s="43"/>
      <c r="P32" s="45"/>
      <c r="Q32" s="46"/>
      <c r="R32" s="43"/>
      <c r="S32" s="55"/>
      <c r="T32" s="55"/>
      <c r="U32" s="58"/>
      <c r="V32" s="55"/>
      <c r="W32" s="43"/>
      <c r="X32" s="46"/>
      <c r="Y32" s="146"/>
      <c r="Z32" s="45"/>
      <c r="AA32" s="45"/>
      <c r="AB32" s="43"/>
      <c r="AC32" s="45"/>
      <c r="AD32" s="45"/>
      <c r="AE32" s="101">
        <f t="shared" si="0"/>
        <v>0</v>
      </c>
    </row>
    <row r="33" spans="1:31" s="37" customFormat="1" x14ac:dyDescent="0.2">
      <c r="A33" s="128" t="s">
        <v>60</v>
      </c>
      <c r="B33" s="43"/>
      <c r="C33" s="43"/>
      <c r="D33" s="43"/>
      <c r="E33" s="43"/>
      <c r="F33" s="43"/>
      <c r="G33" s="44"/>
      <c r="H33" s="45"/>
      <c r="I33" s="58">
        <v>1667</v>
      </c>
      <c r="J33" s="46"/>
      <c r="K33" s="43"/>
      <c r="L33" s="45"/>
      <c r="M33" s="45"/>
      <c r="N33" s="46">
        <v>1667</v>
      </c>
      <c r="O33" s="43"/>
      <c r="P33" s="45"/>
      <c r="Q33" s="46"/>
      <c r="R33" s="43"/>
      <c r="S33" s="55"/>
      <c r="T33" s="55"/>
      <c r="U33" s="58"/>
      <c r="V33" s="55"/>
      <c r="W33" s="43"/>
      <c r="X33" s="46"/>
      <c r="Y33" s="146"/>
      <c r="Z33" s="45"/>
      <c r="AA33" s="45"/>
      <c r="AB33" s="43"/>
      <c r="AC33" s="45"/>
      <c r="AD33" s="45"/>
      <c r="AE33" s="101">
        <f t="shared" si="0"/>
        <v>0</v>
      </c>
    </row>
    <row r="34" spans="1:31" s="37" customFormat="1" x14ac:dyDescent="0.2">
      <c r="A34" s="147" t="s">
        <v>209</v>
      </c>
      <c r="B34" s="43"/>
      <c r="C34" s="43"/>
      <c r="D34" s="43"/>
      <c r="E34" s="43"/>
      <c r="F34" s="43"/>
      <c r="G34" s="44"/>
      <c r="H34" s="45"/>
      <c r="I34" s="58"/>
      <c r="J34" s="46"/>
      <c r="K34" s="43"/>
      <c r="L34" s="45"/>
      <c r="M34" s="45"/>
      <c r="N34" s="46"/>
      <c r="O34" s="43"/>
      <c r="P34" s="45">
        <v>313000</v>
      </c>
      <c r="Q34" s="46">
        <v>43300</v>
      </c>
      <c r="R34" s="43"/>
      <c r="S34" s="55"/>
      <c r="T34" s="55">
        <v>385000</v>
      </c>
      <c r="U34" s="58">
        <v>269700</v>
      </c>
      <c r="V34" s="55">
        <v>98300</v>
      </c>
      <c r="W34" s="43">
        <v>275000</v>
      </c>
      <c r="X34" s="46">
        <v>435000</v>
      </c>
      <c r="Y34" s="146"/>
      <c r="Z34" s="45">
        <v>223300</v>
      </c>
      <c r="AA34" s="45">
        <v>235000</v>
      </c>
      <c r="AB34" s="43"/>
      <c r="AC34" s="45"/>
      <c r="AD34" s="45">
        <v>115000</v>
      </c>
      <c r="AE34" s="101"/>
    </row>
    <row r="35" spans="1:31" ht="25.5" x14ac:dyDescent="0.2">
      <c r="A35" s="16" t="s">
        <v>26</v>
      </c>
      <c r="B35" s="23"/>
      <c r="C35" s="23"/>
      <c r="D35" s="23"/>
      <c r="E35" s="23"/>
      <c r="F35" s="23"/>
      <c r="G35" s="6"/>
      <c r="H35" s="6">
        <v>807</v>
      </c>
      <c r="I35" s="59"/>
      <c r="J35" s="24"/>
      <c r="K35" s="31"/>
      <c r="L35" s="7">
        <v>130993</v>
      </c>
      <c r="M35" s="7"/>
      <c r="N35" s="32"/>
      <c r="O35" s="23">
        <v>277178</v>
      </c>
      <c r="P35" s="7"/>
      <c r="Q35" s="24"/>
      <c r="R35" s="23"/>
      <c r="S35" s="56"/>
      <c r="T35" s="56"/>
      <c r="U35" s="59"/>
      <c r="V35" s="56"/>
      <c r="W35" s="23"/>
      <c r="X35" s="24"/>
      <c r="Y35" s="159"/>
      <c r="Z35" s="6"/>
      <c r="AA35" s="6"/>
      <c r="AB35" s="23"/>
      <c r="AC35" s="6"/>
      <c r="AD35" s="6"/>
      <c r="AE35" s="101">
        <f t="shared" ref="AE35:AE66" si="1">C35+D35+I35+M35+P35+S35-E35-J35-N35-Q35-U35</f>
        <v>0</v>
      </c>
    </row>
    <row r="36" spans="1:31" ht="38.25" x14ac:dyDescent="0.2">
      <c r="A36" s="16" t="s">
        <v>25</v>
      </c>
      <c r="B36" s="23"/>
      <c r="C36" s="23"/>
      <c r="D36" s="23"/>
      <c r="E36" s="23"/>
      <c r="F36" s="23"/>
      <c r="G36" s="6"/>
      <c r="H36" s="6">
        <v>27298</v>
      </c>
      <c r="I36" s="59"/>
      <c r="J36" s="24"/>
      <c r="K36" s="31"/>
      <c r="L36" s="7">
        <v>29993</v>
      </c>
      <c r="M36" s="7"/>
      <c r="N36" s="32"/>
      <c r="O36" s="23">
        <v>64999</v>
      </c>
      <c r="P36" s="7"/>
      <c r="Q36" s="24"/>
      <c r="R36" s="23">
        <v>3710</v>
      </c>
      <c r="S36" s="56"/>
      <c r="T36" s="56"/>
      <c r="U36" s="59"/>
      <c r="V36" s="56"/>
      <c r="W36" s="23"/>
      <c r="X36" s="24"/>
      <c r="Y36" s="159"/>
      <c r="Z36" s="6"/>
      <c r="AA36" s="6"/>
      <c r="AB36" s="23"/>
      <c r="AC36" s="6"/>
      <c r="AD36" s="6"/>
      <c r="AE36" s="101">
        <f t="shared" si="1"/>
        <v>0</v>
      </c>
    </row>
    <row r="37" spans="1:31" s="8" customFormat="1" x14ac:dyDescent="0.2">
      <c r="A37" s="17" t="s">
        <v>31</v>
      </c>
      <c r="B37" s="25">
        <f t="shared" ref="B37:R37" si="2">SUM(B3:B36)</f>
        <v>0</v>
      </c>
      <c r="C37" s="25">
        <f t="shared" si="2"/>
        <v>315732.48576000001</v>
      </c>
      <c r="D37" s="25">
        <f t="shared" si="2"/>
        <v>143427.81</v>
      </c>
      <c r="E37" s="25">
        <f t="shared" si="2"/>
        <v>206844.18</v>
      </c>
      <c r="F37" s="25">
        <f t="shared" si="2"/>
        <v>0</v>
      </c>
      <c r="G37" s="1">
        <f t="shared" si="2"/>
        <v>0</v>
      </c>
      <c r="H37" s="1">
        <f t="shared" si="2"/>
        <v>28105</v>
      </c>
      <c r="I37" s="60">
        <f t="shared" si="2"/>
        <v>255456.65000000002</v>
      </c>
      <c r="J37" s="63">
        <f t="shared" si="2"/>
        <v>287579.68000000005</v>
      </c>
      <c r="K37" s="25">
        <f t="shared" si="2"/>
        <v>0</v>
      </c>
      <c r="L37" s="1">
        <f t="shared" si="2"/>
        <v>160986</v>
      </c>
      <c r="M37" s="1">
        <f t="shared" si="2"/>
        <v>502750</v>
      </c>
      <c r="N37" s="26">
        <f t="shared" si="2"/>
        <v>178322</v>
      </c>
      <c r="O37" s="25">
        <f t="shared" si="2"/>
        <v>417477</v>
      </c>
      <c r="P37" s="25">
        <f t="shared" si="2"/>
        <v>420500</v>
      </c>
      <c r="Q37" s="26">
        <f t="shared" si="2"/>
        <v>583300</v>
      </c>
      <c r="R37" s="25">
        <f t="shared" si="2"/>
        <v>3710</v>
      </c>
      <c r="S37" s="25">
        <f>SUM(S3:S36)</f>
        <v>0</v>
      </c>
      <c r="T37" s="25">
        <f>SUM(T3:T36)</f>
        <v>588700</v>
      </c>
      <c r="U37" s="60">
        <f>SUM(U3:U36)</f>
        <v>377200</v>
      </c>
      <c r="V37" s="60">
        <f>SUM(V3:V36)</f>
        <v>98300</v>
      </c>
      <c r="W37" s="142">
        <f t="shared" ref="W37:X37" si="3">SUM(W3:W36)</f>
        <v>421500</v>
      </c>
      <c r="X37" s="26">
        <f t="shared" si="3"/>
        <v>638700</v>
      </c>
      <c r="Y37" s="15">
        <f t="shared" ref="Y37" si="4">SUM(Y3:Y36)</f>
        <v>0</v>
      </c>
      <c r="Z37" s="60">
        <f t="shared" ref="Z37" si="5">SUM(Z3:Z36)</f>
        <v>223300</v>
      </c>
      <c r="AA37" s="60">
        <f t="shared" ref="AA37" si="6">SUM(AA3:AA36)</f>
        <v>381500</v>
      </c>
      <c r="AB37" s="60">
        <f t="shared" ref="AB37" si="7">SUM(AB3:AB36)</f>
        <v>0</v>
      </c>
      <c r="AC37" s="60">
        <f t="shared" ref="AC37" si="8">SUM(AC3:AC36)</f>
        <v>0</v>
      </c>
      <c r="AD37" s="60">
        <f t="shared" ref="AD37" si="9">SUM(AD3:AD36)</f>
        <v>115000</v>
      </c>
      <c r="AE37" s="101">
        <f t="shared" si="1"/>
        <v>4621.0857600001618</v>
      </c>
    </row>
    <row r="38" spans="1:31" s="37" customFormat="1" ht="25.5" x14ac:dyDescent="0.2">
      <c r="A38" s="128" t="s">
        <v>101</v>
      </c>
      <c r="B38" s="43"/>
      <c r="C38" s="43"/>
      <c r="D38" s="43">
        <v>9288.98</v>
      </c>
      <c r="E38" s="43">
        <v>0</v>
      </c>
      <c r="F38" s="43"/>
      <c r="G38" s="44"/>
      <c r="H38" s="45"/>
      <c r="I38" s="58">
        <v>247.28</v>
      </c>
      <c r="J38" s="46">
        <v>8965</v>
      </c>
      <c r="K38" s="43"/>
      <c r="L38" s="45"/>
      <c r="M38" s="45"/>
      <c r="N38" s="46"/>
      <c r="O38" s="43"/>
      <c r="P38" s="55"/>
      <c r="Q38" s="46"/>
      <c r="R38" s="43"/>
      <c r="S38" s="55"/>
      <c r="T38" s="55"/>
      <c r="U38" s="58"/>
      <c r="V38" s="55"/>
      <c r="W38" s="43"/>
      <c r="X38" s="46"/>
      <c r="Y38" s="146"/>
      <c r="Z38" s="45"/>
      <c r="AA38" s="45"/>
      <c r="AB38" s="43"/>
      <c r="AC38" s="45"/>
      <c r="AD38" s="45"/>
      <c r="AE38" s="101">
        <f t="shared" si="1"/>
        <v>571.26000000000022</v>
      </c>
    </row>
    <row r="39" spans="1:31" s="37" customFormat="1" x14ac:dyDescent="0.2">
      <c r="A39" s="128" t="s">
        <v>61</v>
      </c>
      <c r="B39" s="43"/>
      <c r="C39" s="43">
        <v>9399.1217199999992</v>
      </c>
      <c r="D39" s="43">
        <v>3466.25</v>
      </c>
      <c r="E39" s="43"/>
      <c r="F39" s="43"/>
      <c r="G39" s="44"/>
      <c r="H39" s="45"/>
      <c r="I39" s="58">
        <v>5582.49</v>
      </c>
      <c r="J39" s="46">
        <v>18447.86</v>
      </c>
      <c r="K39" s="43"/>
      <c r="L39" s="45"/>
      <c r="M39" s="45"/>
      <c r="N39" s="46"/>
      <c r="O39" s="43"/>
      <c r="P39" s="55"/>
      <c r="Q39" s="46"/>
      <c r="R39" s="43"/>
      <c r="S39" s="55"/>
      <c r="T39" s="55"/>
      <c r="U39" s="58"/>
      <c r="V39" s="55"/>
      <c r="W39" s="43"/>
      <c r="X39" s="46"/>
      <c r="Y39" s="146"/>
      <c r="Z39" s="45"/>
      <c r="AA39" s="45"/>
      <c r="AB39" s="43"/>
      <c r="AC39" s="45"/>
      <c r="AD39" s="45"/>
      <c r="AE39" s="101">
        <f t="shared" si="1"/>
        <v>1.720000000204891E-3</v>
      </c>
    </row>
    <row r="40" spans="1:31" s="37" customFormat="1" x14ac:dyDescent="0.2">
      <c r="A40" s="128" t="s">
        <v>62</v>
      </c>
      <c r="B40" s="43"/>
      <c r="C40" s="43">
        <v>14752.691030000002</v>
      </c>
      <c r="D40" s="43">
        <v>8810.76</v>
      </c>
      <c r="E40" s="43">
        <v>289.41000000000003</v>
      </c>
      <c r="F40" s="43"/>
      <c r="G40" s="44"/>
      <c r="H40" s="45"/>
      <c r="I40" s="58"/>
      <c r="J40" s="46">
        <v>23274.1</v>
      </c>
      <c r="K40" s="43"/>
      <c r="L40" s="45"/>
      <c r="M40" s="45"/>
      <c r="N40" s="46"/>
      <c r="O40" s="43"/>
      <c r="P40" s="55"/>
      <c r="Q40" s="46"/>
      <c r="R40" s="43"/>
      <c r="S40" s="55"/>
      <c r="T40" s="55"/>
      <c r="U40" s="58"/>
      <c r="V40" s="55"/>
      <c r="W40" s="43"/>
      <c r="X40" s="46"/>
      <c r="Y40" s="146"/>
      <c r="Z40" s="45"/>
      <c r="AA40" s="45"/>
      <c r="AB40" s="43"/>
      <c r="AC40" s="45"/>
      <c r="AD40" s="45"/>
      <c r="AE40" s="101">
        <f t="shared" si="1"/>
        <v>-5.8969999994587852E-2</v>
      </c>
    </row>
    <row r="41" spans="1:31" s="37" customFormat="1" x14ac:dyDescent="0.2">
      <c r="A41" s="128" t="s">
        <v>63</v>
      </c>
      <c r="B41" s="43"/>
      <c r="C41" s="43">
        <v>21763.88624</v>
      </c>
      <c r="D41" s="43"/>
      <c r="E41" s="43">
        <v>21763.89</v>
      </c>
      <c r="F41" s="43"/>
      <c r="G41" s="44"/>
      <c r="H41" s="45"/>
      <c r="I41" s="58"/>
      <c r="J41" s="46"/>
      <c r="K41" s="43"/>
      <c r="L41" s="45"/>
      <c r="M41" s="45"/>
      <c r="N41" s="46"/>
      <c r="O41" s="43"/>
      <c r="P41" s="55"/>
      <c r="Q41" s="46"/>
      <c r="R41" s="43"/>
      <c r="S41" s="55"/>
      <c r="T41" s="55"/>
      <c r="U41" s="58"/>
      <c r="V41" s="55"/>
      <c r="W41" s="43"/>
      <c r="X41" s="46"/>
      <c r="Y41" s="146"/>
      <c r="Z41" s="45"/>
      <c r="AA41" s="45"/>
      <c r="AB41" s="43"/>
      <c r="AC41" s="45"/>
      <c r="AD41" s="45"/>
      <c r="AE41" s="101">
        <f t="shared" si="1"/>
        <v>-3.7599999996018596E-3</v>
      </c>
    </row>
    <row r="42" spans="1:31" s="37" customFormat="1" ht="25.5" x14ac:dyDescent="0.2">
      <c r="A42" s="128" t="s">
        <v>64</v>
      </c>
      <c r="B42" s="43"/>
      <c r="C42" s="43">
        <v>53656.974830000006</v>
      </c>
      <c r="D42" s="43">
        <v>22429.23</v>
      </c>
      <c r="E42" s="43">
        <v>76086.210000000006</v>
      </c>
      <c r="F42" s="43"/>
      <c r="G42" s="44"/>
      <c r="H42" s="45"/>
      <c r="I42" s="58"/>
      <c r="J42" s="46"/>
      <c r="K42" s="43"/>
      <c r="L42" s="45"/>
      <c r="M42" s="45"/>
      <c r="N42" s="46"/>
      <c r="O42" s="43"/>
      <c r="P42" s="55"/>
      <c r="Q42" s="46"/>
      <c r="R42" s="43"/>
      <c r="S42" s="55"/>
      <c r="T42" s="55"/>
      <c r="U42" s="58"/>
      <c r="V42" s="55"/>
      <c r="W42" s="43"/>
      <c r="X42" s="46"/>
      <c r="Y42" s="146"/>
      <c r="Z42" s="45"/>
      <c r="AA42" s="45"/>
      <c r="AB42" s="43"/>
      <c r="AC42" s="45"/>
      <c r="AD42" s="45"/>
      <c r="AE42" s="101">
        <f t="shared" si="1"/>
        <v>-5.1700000040000305E-3</v>
      </c>
    </row>
    <row r="43" spans="1:31" s="37" customFormat="1" x14ac:dyDescent="0.2">
      <c r="A43" s="128" t="s">
        <v>65</v>
      </c>
      <c r="B43" s="43"/>
      <c r="C43" s="43">
        <v>18168.2389</v>
      </c>
      <c r="D43" s="43">
        <v>64478.93</v>
      </c>
      <c r="E43" s="43"/>
      <c r="F43" s="43"/>
      <c r="G43" s="44">
        <v>13.86</v>
      </c>
      <c r="H43" s="45"/>
      <c r="I43" s="58">
        <v>14467.53</v>
      </c>
      <c r="J43" s="46">
        <v>97114.7</v>
      </c>
      <c r="K43" s="43"/>
      <c r="L43" s="45"/>
      <c r="M43" s="45"/>
      <c r="N43" s="46"/>
      <c r="O43" s="43"/>
      <c r="P43" s="55"/>
      <c r="Q43" s="46"/>
      <c r="R43" s="43"/>
      <c r="S43" s="55"/>
      <c r="T43" s="55"/>
      <c r="U43" s="58"/>
      <c r="V43" s="55"/>
      <c r="W43" s="43"/>
      <c r="X43" s="46"/>
      <c r="Y43" s="146"/>
      <c r="Z43" s="45"/>
      <c r="AA43" s="45"/>
      <c r="AB43" s="43"/>
      <c r="AC43" s="45"/>
      <c r="AD43" s="45"/>
      <c r="AE43" s="101">
        <f t="shared" si="1"/>
        <v>-1.0999999940395355E-3</v>
      </c>
    </row>
    <row r="44" spans="1:31" s="37" customFormat="1" x14ac:dyDescent="0.2">
      <c r="A44" s="128" t="s">
        <v>66</v>
      </c>
      <c r="B44" s="43"/>
      <c r="C44" s="43"/>
      <c r="D44" s="43"/>
      <c r="E44" s="43"/>
      <c r="F44" s="43"/>
      <c r="G44" s="44"/>
      <c r="H44" s="45"/>
      <c r="I44" s="58"/>
      <c r="J44" s="46"/>
      <c r="K44" s="43"/>
      <c r="L44" s="45"/>
      <c r="M44" s="45"/>
      <c r="N44" s="46"/>
      <c r="O44" s="43"/>
      <c r="P44" s="55"/>
      <c r="Q44" s="46"/>
      <c r="R44" s="43"/>
      <c r="S44" s="55"/>
      <c r="T44" s="55"/>
      <c r="U44" s="58"/>
      <c r="V44" s="55"/>
      <c r="W44" s="43"/>
      <c r="X44" s="46"/>
      <c r="Y44" s="146"/>
      <c r="Z44" s="45"/>
      <c r="AA44" s="45"/>
      <c r="AB44" s="43"/>
      <c r="AC44" s="45"/>
      <c r="AD44" s="45"/>
      <c r="AE44" s="101">
        <f t="shared" si="1"/>
        <v>0</v>
      </c>
    </row>
    <row r="45" spans="1:31" s="37" customFormat="1" x14ac:dyDescent="0.2">
      <c r="A45" s="128" t="s">
        <v>67</v>
      </c>
      <c r="B45" s="43"/>
      <c r="C45" s="43"/>
      <c r="D45" s="43"/>
      <c r="E45" s="43"/>
      <c r="F45" s="43"/>
      <c r="G45" s="44"/>
      <c r="H45" s="45"/>
      <c r="I45" s="58"/>
      <c r="J45" s="46"/>
      <c r="K45" s="43"/>
      <c r="L45" s="45"/>
      <c r="M45" s="45">
        <v>16540</v>
      </c>
      <c r="N45" s="46">
        <v>0</v>
      </c>
      <c r="O45" s="43"/>
      <c r="P45" s="55"/>
      <c r="Q45" s="46">
        <v>16540</v>
      </c>
      <c r="R45" s="43"/>
      <c r="S45" s="55"/>
      <c r="T45" s="55"/>
      <c r="U45" s="58"/>
      <c r="V45" s="55"/>
      <c r="W45" s="43"/>
      <c r="X45" s="46"/>
      <c r="Y45" s="146"/>
      <c r="Z45" s="45"/>
      <c r="AA45" s="45"/>
      <c r="AB45" s="43"/>
      <c r="AC45" s="45"/>
      <c r="AD45" s="45"/>
      <c r="AE45" s="101">
        <f t="shared" si="1"/>
        <v>0</v>
      </c>
    </row>
    <row r="46" spans="1:31" s="37" customFormat="1" ht="25.5" x14ac:dyDescent="0.2">
      <c r="A46" s="128" t="s">
        <v>68</v>
      </c>
      <c r="B46" s="43"/>
      <c r="C46" s="43"/>
      <c r="D46" s="43">
        <v>1576.58</v>
      </c>
      <c r="E46" s="43"/>
      <c r="F46" s="43"/>
      <c r="G46" s="44">
        <v>78.94</v>
      </c>
      <c r="H46" s="45"/>
      <c r="I46" s="58">
        <v>25165.53</v>
      </c>
      <c r="J46" s="46"/>
      <c r="K46" s="43"/>
      <c r="L46" s="45"/>
      <c r="M46" s="45">
        <v>9848.58</v>
      </c>
      <c r="N46" s="46">
        <v>37011</v>
      </c>
      <c r="O46" s="43"/>
      <c r="P46" s="55"/>
      <c r="Q46" s="46"/>
      <c r="R46" s="43"/>
      <c r="S46" s="55"/>
      <c r="T46" s="55"/>
      <c r="U46" s="58"/>
      <c r="V46" s="55"/>
      <c r="W46" s="43"/>
      <c r="X46" s="46"/>
      <c r="Y46" s="146"/>
      <c r="Z46" s="45"/>
      <c r="AA46" s="45"/>
      <c r="AB46" s="43"/>
      <c r="AC46" s="45"/>
      <c r="AD46" s="45"/>
      <c r="AE46" s="101">
        <f t="shared" si="1"/>
        <v>-420.30999999999767</v>
      </c>
    </row>
    <row r="47" spans="1:31" ht="28.5" customHeight="1" x14ac:dyDescent="0.2">
      <c r="A47" s="134" t="s">
        <v>205</v>
      </c>
      <c r="B47" s="27"/>
      <c r="C47" s="27"/>
      <c r="D47" s="27"/>
      <c r="E47" s="27"/>
      <c r="F47" s="27">
        <v>37193.040000000001</v>
      </c>
      <c r="G47" s="11"/>
      <c r="H47" s="129"/>
      <c r="I47" s="61"/>
      <c r="J47" s="28"/>
      <c r="K47" s="47"/>
      <c r="L47" s="129"/>
      <c r="M47" s="135">
        <v>30000</v>
      </c>
      <c r="N47" s="33"/>
      <c r="O47" s="36"/>
      <c r="P47" s="135">
        <v>297925</v>
      </c>
      <c r="Q47" s="135">
        <v>30000</v>
      </c>
      <c r="R47" s="43"/>
      <c r="S47" s="55"/>
      <c r="T47" s="55">
        <v>428825</v>
      </c>
      <c r="U47" s="141">
        <v>297925</v>
      </c>
      <c r="V47" s="145"/>
      <c r="W47" s="150">
        <v>481525</v>
      </c>
      <c r="X47" s="151">
        <v>428825</v>
      </c>
      <c r="Y47" s="160"/>
      <c r="Z47" s="135">
        <v>397800</v>
      </c>
      <c r="AA47" s="135">
        <v>481525</v>
      </c>
      <c r="AB47" s="150"/>
      <c r="AC47" s="135"/>
      <c r="AD47" s="135">
        <v>397800</v>
      </c>
      <c r="AE47" s="101">
        <f t="shared" si="1"/>
        <v>0</v>
      </c>
    </row>
    <row r="48" spans="1:31" s="37" customFormat="1" x14ac:dyDescent="0.2">
      <c r="A48" s="38" t="s">
        <v>206</v>
      </c>
      <c r="B48" s="43"/>
      <c r="C48" s="43"/>
      <c r="D48" s="43"/>
      <c r="E48" s="43"/>
      <c r="F48" s="43"/>
      <c r="G48" s="44"/>
      <c r="H48" s="45"/>
      <c r="I48" s="58"/>
      <c r="J48" s="46"/>
      <c r="K48" s="43"/>
      <c r="L48" s="45"/>
      <c r="M48" s="45"/>
      <c r="N48" s="46"/>
      <c r="O48" s="43"/>
      <c r="P48" s="55"/>
      <c r="Q48" s="46"/>
      <c r="R48" s="43"/>
      <c r="S48" s="55"/>
      <c r="T48" s="55">
        <v>72000</v>
      </c>
      <c r="U48" s="58"/>
      <c r="V48" s="55">
        <v>30300</v>
      </c>
      <c r="W48" s="43">
        <v>177000</v>
      </c>
      <c r="X48" s="46">
        <v>140750</v>
      </c>
      <c r="Y48" s="146"/>
      <c r="Z48" s="45"/>
      <c r="AA48" s="45">
        <v>77950</v>
      </c>
      <c r="AB48" s="43"/>
      <c r="AC48" s="45"/>
      <c r="AD48" s="45"/>
      <c r="AE48" s="101">
        <f t="shared" si="1"/>
        <v>0</v>
      </c>
    </row>
    <row r="49" spans="1:31" x14ac:dyDescent="0.2">
      <c r="A49" s="16" t="s">
        <v>2</v>
      </c>
      <c r="B49" s="23"/>
      <c r="C49" s="23"/>
      <c r="D49" s="23"/>
      <c r="E49" s="23"/>
      <c r="F49" s="23">
        <v>71.91</v>
      </c>
      <c r="G49" s="6"/>
      <c r="H49" s="6">
        <v>0</v>
      </c>
      <c r="I49" s="59"/>
      <c r="J49" s="24"/>
      <c r="K49" s="47"/>
      <c r="L49" s="9">
        <v>0</v>
      </c>
      <c r="M49" s="9"/>
      <c r="N49" s="34"/>
      <c r="O49" s="23">
        <v>0</v>
      </c>
      <c r="P49" s="56"/>
      <c r="Q49" s="24"/>
      <c r="R49" s="23">
        <v>0</v>
      </c>
      <c r="S49" s="56"/>
      <c r="T49" s="56"/>
      <c r="U49" s="59"/>
      <c r="V49" s="56"/>
      <c r="W49" s="23"/>
      <c r="X49" s="24"/>
      <c r="Y49" s="159"/>
      <c r="Z49" s="6"/>
      <c r="AA49" s="6"/>
      <c r="AB49" s="23"/>
      <c r="AC49" s="6"/>
      <c r="AD49" s="6"/>
      <c r="AE49" s="101">
        <f t="shared" si="1"/>
        <v>0</v>
      </c>
    </row>
    <row r="50" spans="1:31" x14ac:dyDescent="0.2">
      <c r="A50" s="16" t="s">
        <v>3</v>
      </c>
      <c r="B50" s="23"/>
      <c r="C50" s="23"/>
      <c r="D50" s="23"/>
      <c r="E50" s="23"/>
      <c r="F50" s="23"/>
      <c r="G50" s="6"/>
      <c r="H50" s="6">
        <v>615</v>
      </c>
      <c r="I50" s="59"/>
      <c r="J50" s="24"/>
      <c r="K50" s="47"/>
      <c r="L50" s="7">
        <v>40400</v>
      </c>
      <c r="M50" s="7"/>
      <c r="N50" s="32"/>
      <c r="O50" s="23">
        <v>10000</v>
      </c>
      <c r="P50" s="56"/>
      <c r="Q50" s="24"/>
      <c r="R50" s="23"/>
      <c r="S50" s="56"/>
      <c r="T50" s="56"/>
      <c r="U50" s="59"/>
      <c r="V50" s="56"/>
      <c r="W50" s="23"/>
      <c r="X50" s="24"/>
      <c r="Y50" s="159"/>
      <c r="Z50" s="6"/>
      <c r="AA50" s="6"/>
      <c r="AB50" s="23"/>
      <c r="AC50" s="6"/>
      <c r="AD50" s="6"/>
      <c r="AE50" s="101">
        <f t="shared" si="1"/>
        <v>0</v>
      </c>
    </row>
    <row r="51" spans="1:31" x14ac:dyDescent="0.2">
      <c r="A51" s="16" t="s">
        <v>1</v>
      </c>
      <c r="B51" s="23"/>
      <c r="C51" s="23"/>
      <c r="D51" s="23"/>
      <c r="E51" s="23"/>
      <c r="F51" s="23"/>
      <c r="G51" s="6"/>
      <c r="H51" s="6"/>
      <c r="I51" s="59"/>
      <c r="J51" s="24"/>
      <c r="K51" s="35"/>
      <c r="L51" s="7"/>
      <c r="M51" s="7"/>
      <c r="N51" s="32"/>
      <c r="O51" s="23">
        <v>30000</v>
      </c>
      <c r="P51" s="56"/>
      <c r="Q51" s="24"/>
      <c r="R51" s="23">
        <v>65000</v>
      </c>
      <c r="S51" s="56"/>
      <c r="T51" s="56"/>
      <c r="U51" s="59"/>
      <c r="V51" s="56"/>
      <c r="W51" s="23"/>
      <c r="X51" s="24"/>
      <c r="Y51" s="159"/>
      <c r="Z51" s="6"/>
      <c r="AA51" s="6"/>
      <c r="AB51" s="23"/>
      <c r="AC51" s="6"/>
      <c r="AD51" s="6"/>
      <c r="AE51" s="101">
        <f t="shared" si="1"/>
        <v>0</v>
      </c>
    </row>
    <row r="52" spans="1:31" x14ac:dyDescent="0.2">
      <c r="A52" s="16" t="s">
        <v>4</v>
      </c>
      <c r="B52" s="23"/>
      <c r="C52" s="23"/>
      <c r="D52" s="23"/>
      <c r="E52" s="23"/>
      <c r="F52" s="23"/>
      <c r="G52" s="6"/>
      <c r="H52" s="6">
        <v>25000</v>
      </c>
      <c r="I52" s="59"/>
      <c r="J52" s="24"/>
      <c r="K52" s="47"/>
      <c r="L52" s="7">
        <v>70000</v>
      </c>
      <c r="M52" s="7"/>
      <c r="N52" s="32"/>
      <c r="O52" s="23"/>
      <c r="P52" s="56"/>
      <c r="Q52" s="24"/>
      <c r="R52" s="23"/>
      <c r="S52" s="56"/>
      <c r="T52" s="56"/>
      <c r="U52" s="59"/>
      <c r="V52" s="56"/>
      <c r="W52" s="23"/>
      <c r="X52" s="24"/>
      <c r="Y52" s="159"/>
      <c r="Z52" s="6"/>
      <c r="AA52" s="6"/>
      <c r="AB52" s="23"/>
      <c r="AC52" s="6"/>
      <c r="AD52" s="6"/>
      <c r="AE52" s="101">
        <f t="shared" si="1"/>
        <v>0</v>
      </c>
    </row>
    <row r="53" spans="1:31" s="8" customFormat="1" x14ac:dyDescent="0.2">
      <c r="A53" s="17" t="s">
        <v>27</v>
      </c>
      <c r="B53" s="25">
        <f t="shared" ref="B53:R53" si="10">SUM(B38:B52)</f>
        <v>0</v>
      </c>
      <c r="C53" s="25">
        <f t="shared" si="10"/>
        <v>117740.91272000001</v>
      </c>
      <c r="D53" s="25">
        <f t="shared" si="10"/>
        <v>110050.73</v>
      </c>
      <c r="E53" s="25">
        <f t="shared" si="10"/>
        <v>98139.510000000009</v>
      </c>
      <c r="F53" s="25">
        <f t="shared" si="10"/>
        <v>37264.950000000004</v>
      </c>
      <c r="G53" s="1">
        <f t="shared" si="10"/>
        <v>92.8</v>
      </c>
      <c r="H53" s="1">
        <f t="shared" si="10"/>
        <v>25615</v>
      </c>
      <c r="I53" s="60">
        <f t="shared" si="10"/>
        <v>45462.83</v>
      </c>
      <c r="J53" s="63">
        <f t="shared" si="10"/>
        <v>147801.66</v>
      </c>
      <c r="K53" s="25">
        <f t="shared" si="10"/>
        <v>0</v>
      </c>
      <c r="L53" s="1">
        <f t="shared" si="10"/>
        <v>110400</v>
      </c>
      <c r="M53" s="1">
        <f t="shared" si="10"/>
        <v>56388.58</v>
      </c>
      <c r="N53" s="26">
        <f t="shared" si="10"/>
        <v>37011</v>
      </c>
      <c r="O53" s="25">
        <f t="shared" si="10"/>
        <v>40000</v>
      </c>
      <c r="P53" s="15">
        <f t="shared" si="10"/>
        <v>297925</v>
      </c>
      <c r="Q53" s="26">
        <f t="shared" si="10"/>
        <v>46540</v>
      </c>
      <c r="R53" s="25">
        <f t="shared" si="10"/>
        <v>65000</v>
      </c>
      <c r="S53" s="15">
        <f>SUM(S38:S52)</f>
        <v>0</v>
      </c>
      <c r="T53" s="15">
        <f t="shared" ref="T53:V53" si="11">SUM(T38:T52)</f>
        <v>500825</v>
      </c>
      <c r="U53" s="15">
        <f t="shared" si="11"/>
        <v>297925</v>
      </c>
      <c r="V53" s="15">
        <f t="shared" si="11"/>
        <v>30300</v>
      </c>
      <c r="W53" s="142">
        <f t="shared" ref="W53" si="12">SUM(W38:W52)</f>
        <v>658525</v>
      </c>
      <c r="X53" s="169">
        <f t="shared" ref="X53" si="13">SUM(X38:X52)</f>
        <v>569575</v>
      </c>
      <c r="Y53" s="15">
        <f t="shared" ref="Y53" si="14">SUM(Y38:Y52)</f>
        <v>0</v>
      </c>
      <c r="Z53" s="15">
        <f t="shared" ref="Z53" si="15">SUM(Z38:Z52)</f>
        <v>397800</v>
      </c>
      <c r="AA53" s="15">
        <f t="shared" ref="AA53" si="16">SUM(AA38:AA52)</f>
        <v>559475</v>
      </c>
      <c r="AB53" s="15">
        <f t="shared" ref="AB53" si="17">SUM(AB38:AB52)</f>
        <v>0</v>
      </c>
      <c r="AC53" s="15">
        <f t="shared" ref="AC53" si="18">SUM(AC38:AC52)</f>
        <v>0</v>
      </c>
      <c r="AD53" s="15">
        <f t="shared" ref="AD53" si="19">SUM(AD38:AD52)</f>
        <v>397800</v>
      </c>
      <c r="AE53" s="101">
        <f t="shared" si="1"/>
        <v>150.88271999999415</v>
      </c>
    </row>
    <row r="54" spans="1:31" s="37" customFormat="1" ht="25.5" x14ac:dyDescent="0.2">
      <c r="A54" s="130" t="s">
        <v>69</v>
      </c>
      <c r="B54" s="43"/>
      <c r="C54" s="43"/>
      <c r="D54" s="43">
        <v>12148.69</v>
      </c>
      <c r="E54" s="43"/>
      <c r="F54" s="43"/>
      <c r="G54" s="45">
        <v>258.8</v>
      </c>
      <c r="H54" s="45"/>
      <c r="I54" s="58">
        <f>10049+2355.75</f>
        <v>12404.75</v>
      </c>
      <c r="J54" s="46"/>
      <c r="K54" s="43"/>
      <c r="L54" s="45"/>
      <c r="M54" s="45"/>
      <c r="N54" s="46">
        <v>24554</v>
      </c>
      <c r="O54" s="43"/>
      <c r="P54" s="55"/>
      <c r="Q54" s="46"/>
      <c r="R54" s="43"/>
      <c r="S54" s="55"/>
      <c r="T54" s="55"/>
      <c r="U54" s="58"/>
      <c r="V54" s="55"/>
      <c r="W54" s="43"/>
      <c r="X54" s="46"/>
      <c r="Y54" s="146"/>
      <c r="Z54" s="45"/>
      <c r="AA54" s="45"/>
      <c r="AB54" s="43"/>
      <c r="AC54" s="45"/>
      <c r="AD54" s="45"/>
      <c r="AE54" s="101">
        <f t="shared" si="1"/>
        <v>-0.55999999999767169</v>
      </c>
    </row>
    <row r="55" spans="1:31" s="37" customFormat="1" x14ac:dyDescent="0.2">
      <c r="A55" s="130" t="s">
        <v>70</v>
      </c>
      <c r="B55" s="43"/>
      <c r="C55" s="43"/>
      <c r="D55" s="43">
        <v>5289.39</v>
      </c>
      <c r="E55" s="43"/>
      <c r="F55" s="43"/>
      <c r="G55" s="45">
        <v>94.01</v>
      </c>
      <c r="H55" s="45"/>
      <c r="I55" s="58">
        <f>6604+1011.92</f>
        <v>7615.92</v>
      </c>
      <c r="J55" s="46"/>
      <c r="K55" s="43"/>
      <c r="L55" s="45"/>
      <c r="M55" s="45"/>
      <c r="N55" s="46">
        <v>12906</v>
      </c>
      <c r="O55" s="43"/>
      <c r="P55" s="55"/>
      <c r="Q55" s="46"/>
      <c r="R55" s="43"/>
      <c r="S55" s="55"/>
      <c r="T55" s="55"/>
      <c r="U55" s="58"/>
      <c r="V55" s="55"/>
      <c r="W55" s="43"/>
      <c r="X55" s="46"/>
      <c r="Y55" s="146"/>
      <c r="Z55" s="45"/>
      <c r="AA55" s="45"/>
      <c r="AB55" s="43"/>
      <c r="AC55" s="45"/>
      <c r="AD55" s="45"/>
      <c r="AE55" s="101">
        <f t="shared" si="1"/>
        <v>-0.68999999999869033</v>
      </c>
    </row>
    <row r="56" spans="1:31" s="37" customFormat="1" ht="25.5" x14ac:dyDescent="0.2">
      <c r="A56" s="130" t="s">
        <v>71</v>
      </c>
      <c r="B56" s="43"/>
      <c r="C56" s="43"/>
      <c r="D56" s="43">
        <v>9693.66</v>
      </c>
      <c r="E56" s="43"/>
      <c r="F56" s="43"/>
      <c r="G56" s="45">
        <v>223.25</v>
      </c>
      <c r="H56" s="45"/>
      <c r="I56" s="58">
        <f>9172+2111.11</f>
        <v>11283.11</v>
      </c>
      <c r="J56" s="46"/>
      <c r="K56" s="43"/>
      <c r="L56" s="45"/>
      <c r="M56" s="45"/>
      <c r="N56" s="46">
        <v>20977</v>
      </c>
      <c r="O56" s="43"/>
      <c r="P56" s="55"/>
      <c r="Q56" s="46"/>
      <c r="R56" s="43"/>
      <c r="S56" s="55"/>
      <c r="T56" s="55"/>
      <c r="U56" s="58"/>
      <c r="V56" s="55"/>
      <c r="W56" s="43"/>
      <c r="X56" s="46"/>
      <c r="Y56" s="146"/>
      <c r="Z56" s="45"/>
      <c r="AA56" s="45"/>
      <c r="AB56" s="43"/>
      <c r="AC56" s="45"/>
      <c r="AD56" s="45"/>
      <c r="AE56" s="101">
        <f t="shared" si="1"/>
        <v>-0.22999999999956344</v>
      </c>
    </row>
    <row r="57" spans="1:31" s="37" customFormat="1" ht="25.5" x14ac:dyDescent="0.2">
      <c r="A57" s="130" t="s">
        <v>72</v>
      </c>
      <c r="B57" s="43"/>
      <c r="C57" s="43"/>
      <c r="D57" s="43"/>
      <c r="E57" s="43"/>
      <c r="F57" s="43"/>
      <c r="G57" s="45"/>
      <c r="H57" s="45"/>
      <c r="I57" s="58">
        <v>12830.33</v>
      </c>
      <c r="J57" s="46"/>
      <c r="K57" s="43"/>
      <c r="L57" s="45"/>
      <c r="M57" s="45">
        <v>18658</v>
      </c>
      <c r="N57" s="46"/>
      <c r="O57" s="43"/>
      <c r="P57" s="55"/>
      <c r="Q57" s="46">
        <v>31488</v>
      </c>
      <c r="R57" s="43"/>
      <c r="S57" s="55"/>
      <c r="T57" s="55"/>
      <c r="U57" s="58"/>
      <c r="V57" s="55"/>
      <c r="W57" s="43"/>
      <c r="X57" s="46"/>
      <c r="Y57" s="146"/>
      <c r="Z57" s="45"/>
      <c r="AA57" s="45"/>
      <c r="AB57" s="43"/>
      <c r="AC57" s="45"/>
      <c r="AD57" s="45"/>
      <c r="AE57" s="101">
        <f t="shared" si="1"/>
        <v>0.33000000000174623</v>
      </c>
    </row>
    <row r="58" spans="1:31" s="37" customFormat="1" x14ac:dyDescent="0.2">
      <c r="A58" s="130" t="s">
        <v>73</v>
      </c>
      <c r="B58" s="43"/>
      <c r="C58" s="43"/>
      <c r="D58" s="43"/>
      <c r="E58" s="43"/>
      <c r="F58" s="43"/>
      <c r="G58" s="45"/>
      <c r="H58" s="45">
        <v>46471.27</v>
      </c>
      <c r="I58" s="58">
        <v>4112</v>
      </c>
      <c r="J58" s="46"/>
      <c r="K58" s="43"/>
      <c r="L58" s="45">
        <v>66735</v>
      </c>
      <c r="M58" s="45">
        <v>23750</v>
      </c>
      <c r="N58" s="46"/>
      <c r="O58" s="43">
        <v>64910</v>
      </c>
      <c r="P58" s="55">
        <v>20347</v>
      </c>
      <c r="Q58" s="46">
        <v>48209</v>
      </c>
      <c r="R58" s="43"/>
      <c r="S58" s="55"/>
      <c r="T58" s="55"/>
      <c r="U58" s="58"/>
      <c r="V58" s="55"/>
      <c r="W58" s="43"/>
      <c r="X58" s="46"/>
      <c r="Y58" s="146"/>
      <c r="Z58" s="45"/>
      <c r="AA58" s="45"/>
      <c r="AB58" s="43"/>
      <c r="AC58" s="45"/>
      <c r="AD58" s="45"/>
      <c r="AE58" s="101">
        <f t="shared" si="1"/>
        <v>0</v>
      </c>
    </row>
    <row r="59" spans="1:31" s="37" customFormat="1" ht="25.5" x14ac:dyDescent="0.2">
      <c r="A59" s="130" t="s">
        <v>74</v>
      </c>
      <c r="B59" s="43"/>
      <c r="C59" s="43"/>
      <c r="D59" s="43"/>
      <c r="E59" s="43"/>
      <c r="F59" s="43"/>
      <c r="G59" s="45"/>
      <c r="H59" s="45">
        <v>7525</v>
      </c>
      <c r="I59" s="58">
        <v>2975</v>
      </c>
      <c r="J59" s="46"/>
      <c r="K59" s="43"/>
      <c r="L59" s="45">
        <v>19984</v>
      </c>
      <c r="M59" s="45">
        <v>516</v>
      </c>
      <c r="N59" s="46">
        <v>0</v>
      </c>
      <c r="O59" s="43">
        <v>33995</v>
      </c>
      <c r="P59" s="55">
        <v>525</v>
      </c>
      <c r="Q59" s="46">
        <v>4016</v>
      </c>
      <c r="R59" s="43"/>
      <c r="S59" s="55"/>
      <c r="T59" s="55"/>
      <c r="U59" s="58"/>
      <c r="V59" s="55"/>
      <c r="W59" s="43"/>
      <c r="X59" s="46"/>
      <c r="Y59" s="146"/>
      <c r="Z59" s="45"/>
      <c r="AA59" s="45"/>
      <c r="AB59" s="43"/>
      <c r="AC59" s="45"/>
      <c r="AD59" s="45"/>
      <c r="AE59" s="101">
        <f t="shared" si="1"/>
        <v>0</v>
      </c>
    </row>
    <row r="60" spans="1:31" s="37" customFormat="1" ht="15" x14ac:dyDescent="0.25">
      <c r="A60" s="130" t="s">
        <v>75</v>
      </c>
      <c r="B60" s="43"/>
      <c r="C60" s="43"/>
      <c r="D60" s="43"/>
      <c r="E60" s="43"/>
      <c r="F60" s="43"/>
      <c r="G60" s="45"/>
      <c r="H60" s="45"/>
      <c r="I60" s="58">
        <v>7800</v>
      </c>
      <c r="J60" s="46"/>
      <c r="K60" s="43"/>
      <c r="L60" s="45"/>
      <c r="M60" s="103">
        <v>13283</v>
      </c>
      <c r="N60" s="46"/>
      <c r="O60" s="43"/>
      <c r="P60" s="55"/>
      <c r="Q60" s="46">
        <v>21083</v>
      </c>
      <c r="R60" s="43"/>
      <c r="S60" s="55"/>
      <c r="T60" s="55"/>
      <c r="U60" s="58"/>
      <c r="V60" s="55"/>
      <c r="W60" s="43"/>
      <c r="X60" s="46"/>
      <c r="Y60" s="146"/>
      <c r="Z60" s="45"/>
      <c r="AA60" s="45"/>
      <c r="AB60" s="43"/>
      <c r="AC60" s="45"/>
      <c r="AD60" s="45"/>
      <c r="AE60" s="101">
        <f t="shared" si="1"/>
        <v>0</v>
      </c>
    </row>
    <row r="61" spans="1:31" s="37" customFormat="1" x14ac:dyDescent="0.2">
      <c r="A61" s="130" t="s">
        <v>76</v>
      </c>
      <c r="B61" s="43"/>
      <c r="C61" s="43"/>
      <c r="D61" s="43"/>
      <c r="E61" s="43"/>
      <c r="F61" s="43"/>
      <c r="G61" s="45"/>
      <c r="H61" s="45"/>
      <c r="I61" s="58"/>
      <c r="J61" s="46"/>
      <c r="K61" s="43"/>
      <c r="L61" s="45"/>
      <c r="M61" s="7">
        <v>1750</v>
      </c>
      <c r="N61" s="46"/>
      <c r="O61" s="43"/>
      <c r="P61" s="55">
        <v>1750</v>
      </c>
      <c r="Q61" s="46">
        <v>3500</v>
      </c>
      <c r="R61" s="43"/>
      <c r="S61" s="55"/>
      <c r="T61" s="55"/>
      <c r="U61" s="58"/>
      <c r="V61" s="55"/>
      <c r="W61" s="43"/>
      <c r="X61" s="46"/>
      <c r="Y61" s="146"/>
      <c r="Z61" s="45"/>
      <c r="AA61" s="45"/>
      <c r="AB61" s="43"/>
      <c r="AC61" s="45"/>
      <c r="AD61" s="45"/>
      <c r="AE61" s="101">
        <f t="shared" si="1"/>
        <v>0</v>
      </c>
    </row>
    <row r="62" spans="1:31" x14ac:dyDescent="0.2">
      <c r="A62" s="18" t="s">
        <v>151</v>
      </c>
      <c r="B62" s="31"/>
      <c r="C62" s="31"/>
      <c r="D62" s="31"/>
      <c r="E62" s="31"/>
      <c r="F62" s="31"/>
      <c r="G62" s="7"/>
      <c r="H62" s="7">
        <v>9000</v>
      </c>
      <c r="I62" s="62"/>
      <c r="J62" s="32"/>
      <c r="K62" s="43"/>
      <c r="L62" s="7">
        <v>10000</v>
      </c>
      <c r="M62" s="62"/>
      <c r="N62" s="32"/>
      <c r="O62" s="31"/>
      <c r="P62" s="131"/>
      <c r="Q62" s="32"/>
      <c r="R62" s="23"/>
      <c r="S62" s="56"/>
      <c r="T62" s="56"/>
      <c r="U62" s="59"/>
      <c r="V62" s="56"/>
      <c r="W62" s="23"/>
      <c r="X62" s="24"/>
      <c r="Y62" s="159"/>
      <c r="Z62" s="6"/>
      <c r="AA62" s="6"/>
      <c r="AB62" s="23"/>
      <c r="AC62" s="6"/>
      <c r="AD62" s="6"/>
      <c r="AE62" s="101">
        <f t="shared" si="1"/>
        <v>0</v>
      </c>
    </row>
    <row r="63" spans="1:31" x14ac:dyDescent="0.2">
      <c r="A63" s="156" t="s">
        <v>211</v>
      </c>
      <c r="B63" s="31"/>
      <c r="C63" s="31"/>
      <c r="D63" s="31"/>
      <c r="E63" s="31"/>
      <c r="F63" s="31"/>
      <c r="G63" s="7"/>
      <c r="H63" s="7"/>
      <c r="I63" s="62"/>
      <c r="J63" s="32"/>
      <c r="K63" s="43"/>
      <c r="L63" s="7"/>
      <c r="M63" s="62"/>
      <c r="N63" s="32"/>
      <c r="O63" s="31"/>
      <c r="P63" s="131">
        <v>10200</v>
      </c>
      <c r="Q63" s="32"/>
      <c r="R63" s="23"/>
      <c r="S63" s="56"/>
      <c r="T63" s="56">
        <v>97750</v>
      </c>
      <c r="U63" s="59">
        <v>10200</v>
      </c>
      <c r="V63" s="56">
        <v>52250</v>
      </c>
      <c r="W63" s="23">
        <v>139500</v>
      </c>
      <c r="X63" s="24">
        <v>145000</v>
      </c>
      <c r="Y63" s="159"/>
      <c r="Z63" s="6"/>
      <c r="AA63" s="6">
        <v>40000</v>
      </c>
      <c r="AB63" s="23"/>
      <c r="AC63" s="6"/>
      <c r="AD63" s="6"/>
      <c r="AE63" s="101">
        <f t="shared" si="1"/>
        <v>0</v>
      </c>
    </row>
    <row r="64" spans="1:31" x14ac:dyDescent="0.2">
      <c r="A64" s="18" t="s">
        <v>24</v>
      </c>
      <c r="B64" s="31"/>
      <c r="C64" s="31"/>
      <c r="D64" s="31"/>
      <c r="E64" s="31"/>
      <c r="F64" s="31"/>
      <c r="G64" s="7"/>
      <c r="H64" s="7">
        <v>15864.43</v>
      </c>
      <c r="I64" s="62"/>
      <c r="J64" s="32"/>
      <c r="K64" s="43"/>
      <c r="L64" s="7">
        <v>82731</v>
      </c>
      <c r="M64" s="58">
        <v>37794</v>
      </c>
      <c r="N64" s="46">
        <v>37794</v>
      </c>
      <c r="O64" s="31">
        <v>19761</v>
      </c>
      <c r="P64" s="131"/>
      <c r="Q64" s="32"/>
      <c r="R64" s="23"/>
      <c r="S64" s="56"/>
      <c r="T64" s="56"/>
      <c r="U64" s="59"/>
      <c r="V64" s="56"/>
      <c r="W64" s="23"/>
      <c r="X64" s="24"/>
      <c r="Y64" s="159"/>
      <c r="Z64" s="6"/>
      <c r="AA64" s="6"/>
      <c r="AB64" s="23"/>
      <c r="AC64" s="6"/>
      <c r="AD64" s="6"/>
      <c r="AE64" s="101">
        <f t="shared" si="1"/>
        <v>0</v>
      </c>
    </row>
    <row r="65" spans="1:31" ht="25.5" x14ac:dyDescent="0.2">
      <c r="A65" s="18" t="s">
        <v>23</v>
      </c>
      <c r="B65" s="31"/>
      <c r="C65" s="31"/>
      <c r="D65" s="31"/>
      <c r="E65" s="31"/>
      <c r="F65" s="31">
        <v>38.97</v>
      </c>
      <c r="G65" s="7"/>
      <c r="H65" s="7">
        <v>52961.03</v>
      </c>
      <c r="I65" s="62">
        <v>0</v>
      </c>
      <c r="J65" s="32">
        <v>0</v>
      </c>
      <c r="K65" s="43"/>
      <c r="L65" s="7">
        <v>130000</v>
      </c>
      <c r="M65" s="7">
        <v>65000</v>
      </c>
      <c r="N65" s="32">
        <v>65000</v>
      </c>
      <c r="O65" s="31">
        <v>112039</v>
      </c>
      <c r="P65" s="131"/>
      <c r="Q65" s="32"/>
      <c r="R65" s="23"/>
      <c r="S65" s="56"/>
      <c r="T65" s="56"/>
      <c r="U65" s="59"/>
      <c r="V65" s="56"/>
      <c r="W65" s="23"/>
      <c r="X65" s="24"/>
      <c r="Y65" s="159"/>
      <c r="Z65" s="6"/>
      <c r="AA65" s="6"/>
      <c r="AB65" s="23"/>
      <c r="AC65" s="6"/>
      <c r="AD65" s="6"/>
      <c r="AE65" s="101">
        <f t="shared" si="1"/>
        <v>0</v>
      </c>
    </row>
    <row r="66" spans="1:31" ht="25.5" x14ac:dyDescent="0.2">
      <c r="A66" s="18" t="s">
        <v>160</v>
      </c>
      <c r="B66" s="31"/>
      <c r="C66" s="31"/>
      <c r="D66" s="31"/>
      <c r="E66" s="31"/>
      <c r="F66" s="31"/>
      <c r="G66" s="7"/>
      <c r="H66" s="7">
        <v>7800</v>
      </c>
      <c r="I66" s="62"/>
      <c r="J66" s="32"/>
      <c r="K66" s="43"/>
      <c r="L66" s="7">
        <v>5700</v>
      </c>
      <c r="M66" s="7"/>
      <c r="N66" s="32"/>
      <c r="O66" s="31"/>
      <c r="P66" s="131"/>
      <c r="Q66" s="32"/>
      <c r="R66" s="23"/>
      <c r="S66" s="56"/>
      <c r="T66" s="56"/>
      <c r="U66" s="59"/>
      <c r="V66" s="56"/>
      <c r="W66" s="23"/>
      <c r="X66" s="24"/>
      <c r="Y66" s="159"/>
      <c r="Z66" s="6"/>
      <c r="AA66" s="6"/>
      <c r="AB66" s="23"/>
      <c r="AC66" s="6"/>
      <c r="AD66" s="6"/>
      <c r="AE66" s="101">
        <f t="shared" si="1"/>
        <v>0</v>
      </c>
    </row>
    <row r="67" spans="1:31" s="8" customFormat="1" x14ac:dyDescent="0.2">
      <c r="A67" s="17" t="s">
        <v>30</v>
      </c>
      <c r="B67" s="25">
        <f t="shared" ref="B67:X67" si="20">SUM(B54:B66)</f>
        <v>0</v>
      </c>
      <c r="C67" s="25">
        <f t="shared" si="20"/>
        <v>0</v>
      </c>
      <c r="D67" s="25">
        <f t="shared" si="20"/>
        <v>27131.74</v>
      </c>
      <c r="E67" s="25">
        <f t="shared" si="20"/>
        <v>0</v>
      </c>
      <c r="F67" s="25">
        <f t="shared" si="20"/>
        <v>38.97</v>
      </c>
      <c r="G67" s="25">
        <f t="shared" si="20"/>
        <v>576.05999999999995</v>
      </c>
      <c r="H67" s="25">
        <f t="shared" si="20"/>
        <v>139621.72999999998</v>
      </c>
      <c r="I67" s="25">
        <f t="shared" si="20"/>
        <v>59021.11</v>
      </c>
      <c r="J67" s="25">
        <f t="shared" si="20"/>
        <v>0</v>
      </c>
      <c r="K67" s="25">
        <f t="shared" si="20"/>
        <v>0</v>
      </c>
      <c r="L67" s="25">
        <f t="shared" si="20"/>
        <v>315150</v>
      </c>
      <c r="M67" s="25">
        <f t="shared" si="20"/>
        <v>160751</v>
      </c>
      <c r="N67" s="25">
        <f t="shared" si="20"/>
        <v>161231</v>
      </c>
      <c r="O67" s="25">
        <f t="shared" si="20"/>
        <v>230705</v>
      </c>
      <c r="P67" s="25">
        <f t="shared" si="20"/>
        <v>32822</v>
      </c>
      <c r="Q67" s="25">
        <f t="shared" si="20"/>
        <v>108296</v>
      </c>
      <c r="R67" s="25">
        <f t="shared" si="20"/>
        <v>0</v>
      </c>
      <c r="S67" s="25">
        <f t="shared" si="20"/>
        <v>0</v>
      </c>
      <c r="T67" s="25">
        <f t="shared" si="20"/>
        <v>97750</v>
      </c>
      <c r="U67" s="25">
        <f t="shared" si="20"/>
        <v>10200</v>
      </c>
      <c r="V67" s="142">
        <f t="shared" si="20"/>
        <v>52250</v>
      </c>
      <c r="W67" s="25">
        <f t="shared" si="20"/>
        <v>139500</v>
      </c>
      <c r="X67" s="170">
        <f t="shared" si="20"/>
        <v>145000</v>
      </c>
      <c r="Y67" s="161">
        <f t="shared" ref="Y67:AA67" si="21">SUM(Y54:Y66)</f>
        <v>0</v>
      </c>
      <c r="Z67" s="25">
        <f t="shared" si="21"/>
        <v>0</v>
      </c>
      <c r="AA67" s="25">
        <f t="shared" si="21"/>
        <v>40000</v>
      </c>
      <c r="AB67" s="25">
        <f t="shared" ref="AB67:AD67" si="22">SUM(AB54:AB66)</f>
        <v>0</v>
      </c>
      <c r="AC67" s="25">
        <f t="shared" si="22"/>
        <v>0</v>
      </c>
      <c r="AD67" s="25">
        <f t="shared" si="22"/>
        <v>0</v>
      </c>
      <c r="AE67" s="101">
        <f t="shared" ref="AE67:AE94" si="23">C67+D67+I67+M67+P67+S67-E67-J67-N67-Q67-U67</f>
        <v>-1.1500000000232831</v>
      </c>
    </row>
    <row r="68" spans="1:31" s="37" customFormat="1" x14ac:dyDescent="0.2">
      <c r="A68" s="128" t="s">
        <v>102</v>
      </c>
      <c r="B68" s="43"/>
      <c r="C68" s="43"/>
      <c r="D68" s="43"/>
      <c r="E68" s="43"/>
      <c r="F68" s="43"/>
      <c r="G68" s="45"/>
      <c r="H68" s="45"/>
      <c r="I68" s="58"/>
      <c r="J68" s="46"/>
      <c r="K68" s="43"/>
      <c r="L68" s="45"/>
      <c r="M68" s="58">
        <v>0</v>
      </c>
      <c r="N68" s="46"/>
      <c r="O68" s="43"/>
      <c r="P68" s="55">
        <v>17000</v>
      </c>
      <c r="Q68" s="46">
        <v>17000</v>
      </c>
      <c r="R68" s="43"/>
      <c r="S68" s="55"/>
      <c r="T68" s="55"/>
      <c r="U68" s="58"/>
      <c r="V68" s="55"/>
      <c r="W68" s="43"/>
      <c r="X68" s="46"/>
      <c r="Y68" s="146"/>
      <c r="Z68" s="45"/>
      <c r="AA68" s="45"/>
      <c r="AB68" s="43"/>
      <c r="AC68" s="45"/>
      <c r="AD68" s="45"/>
      <c r="AE68" s="101">
        <f t="shared" si="23"/>
        <v>0</v>
      </c>
    </row>
    <row r="69" spans="1:31" s="37" customFormat="1" x14ac:dyDescent="0.2">
      <c r="A69" s="128" t="s">
        <v>194</v>
      </c>
      <c r="B69" s="43"/>
      <c r="C69" s="43">
        <v>569</v>
      </c>
      <c r="D69" s="43"/>
      <c r="E69" s="43"/>
      <c r="F69" s="43"/>
      <c r="G69" s="45"/>
      <c r="H69" s="45"/>
      <c r="I69" s="58"/>
      <c r="J69" s="46"/>
      <c r="K69" s="43"/>
      <c r="L69" s="45"/>
      <c r="M69" s="58"/>
      <c r="N69" s="46"/>
      <c r="O69" s="43"/>
      <c r="P69" s="55"/>
      <c r="Q69" s="46"/>
      <c r="R69" s="43"/>
      <c r="S69" s="55"/>
      <c r="T69" s="55"/>
      <c r="U69" s="58"/>
      <c r="V69" s="55"/>
      <c r="W69" s="43"/>
      <c r="X69" s="46"/>
      <c r="Y69" s="146"/>
      <c r="Z69" s="45"/>
      <c r="AA69" s="45"/>
      <c r="AB69" s="43"/>
      <c r="AC69" s="45"/>
      <c r="AD69" s="45"/>
      <c r="AE69" s="101">
        <f t="shared" si="23"/>
        <v>569</v>
      </c>
    </row>
    <row r="70" spans="1:31" s="37" customFormat="1" x14ac:dyDescent="0.2">
      <c r="A70" s="128" t="s">
        <v>103</v>
      </c>
      <c r="B70" s="43"/>
      <c r="C70" s="43"/>
      <c r="D70" s="43">
        <v>1730.77</v>
      </c>
      <c r="E70" s="43"/>
      <c r="F70" s="43"/>
      <c r="G70" s="45"/>
      <c r="H70" s="45"/>
      <c r="I70" s="58">
        <v>1000</v>
      </c>
      <c r="J70" s="46"/>
      <c r="K70" s="43"/>
      <c r="L70" s="45"/>
      <c r="M70" s="58">
        <v>3800</v>
      </c>
      <c r="N70" s="46">
        <v>6531</v>
      </c>
      <c r="O70" s="43"/>
      <c r="P70" s="55"/>
      <c r="Q70" s="46"/>
      <c r="R70" s="43"/>
      <c r="S70" s="55"/>
      <c r="T70" s="55"/>
      <c r="U70" s="58"/>
      <c r="V70" s="55"/>
      <c r="W70" s="43"/>
      <c r="X70" s="46"/>
      <c r="Y70" s="146"/>
      <c r="Z70" s="45"/>
      <c r="AA70" s="45"/>
      <c r="AB70" s="43"/>
      <c r="AC70" s="45"/>
      <c r="AD70" s="45"/>
      <c r="AE70" s="101">
        <f t="shared" si="23"/>
        <v>-0.22999999999956344</v>
      </c>
    </row>
    <row r="71" spans="1:31" s="37" customFormat="1" x14ac:dyDescent="0.2">
      <c r="A71" s="128" t="s">
        <v>104</v>
      </c>
      <c r="B71" s="43"/>
      <c r="C71" s="43"/>
      <c r="D71" s="43">
        <v>2331.21</v>
      </c>
      <c r="E71" s="43"/>
      <c r="F71" s="43"/>
      <c r="G71" s="45"/>
      <c r="H71" s="45"/>
      <c r="I71" s="58">
        <v>17968.79</v>
      </c>
      <c r="J71" s="46"/>
      <c r="K71" s="43"/>
      <c r="L71" s="45"/>
      <c r="M71" s="58">
        <v>7000</v>
      </c>
      <c r="N71" s="46"/>
      <c r="O71" s="43"/>
      <c r="P71" s="55"/>
      <c r="Q71" s="46">
        <v>27300</v>
      </c>
      <c r="R71" s="43"/>
      <c r="S71" s="55"/>
      <c r="T71" s="55"/>
      <c r="U71" s="58"/>
      <c r="V71" s="55"/>
      <c r="W71" s="43"/>
      <c r="X71" s="46"/>
      <c r="Y71" s="146"/>
      <c r="Z71" s="45"/>
      <c r="AA71" s="45"/>
      <c r="AB71" s="43"/>
      <c r="AC71" s="45"/>
      <c r="AD71" s="45"/>
      <c r="AE71" s="101">
        <f t="shared" si="23"/>
        <v>0</v>
      </c>
    </row>
    <row r="72" spans="1:31" s="37" customFormat="1" x14ac:dyDescent="0.2">
      <c r="A72" s="128" t="s">
        <v>105</v>
      </c>
      <c r="B72" s="43"/>
      <c r="C72" s="43"/>
      <c r="D72" s="43">
        <v>3264.72</v>
      </c>
      <c r="E72" s="43"/>
      <c r="F72" s="43"/>
      <c r="G72" s="45"/>
      <c r="H72" s="45"/>
      <c r="I72" s="58">
        <v>4344.17</v>
      </c>
      <c r="J72" s="46">
        <v>7608.89</v>
      </c>
      <c r="K72" s="43"/>
      <c r="L72" s="45"/>
      <c r="M72" s="58"/>
      <c r="N72" s="46"/>
      <c r="O72" s="43"/>
      <c r="P72" s="55"/>
      <c r="Q72" s="46"/>
      <c r="R72" s="43"/>
      <c r="S72" s="55"/>
      <c r="T72" s="55"/>
      <c r="U72" s="58"/>
      <c r="V72" s="55"/>
      <c r="W72" s="43"/>
      <c r="X72" s="46"/>
      <c r="Y72" s="146"/>
      <c r="Z72" s="45"/>
      <c r="AA72" s="45"/>
      <c r="AB72" s="43"/>
      <c r="AC72" s="45"/>
      <c r="AD72" s="45"/>
      <c r="AE72" s="101">
        <f t="shared" si="23"/>
        <v>-9.0949470177292824E-13</v>
      </c>
    </row>
    <row r="73" spans="1:31" s="37" customFormat="1" ht="25.5" x14ac:dyDescent="0.2">
      <c r="A73" s="128" t="s">
        <v>106</v>
      </c>
      <c r="B73" s="43"/>
      <c r="C73" s="43"/>
      <c r="D73" s="43">
        <v>1152.77</v>
      </c>
      <c r="E73" s="43"/>
      <c r="F73" s="43"/>
      <c r="G73" s="45"/>
      <c r="H73" s="45"/>
      <c r="I73" s="58">
        <v>5639.32</v>
      </c>
      <c r="J73" s="46">
        <v>6792.08</v>
      </c>
      <c r="K73" s="43"/>
      <c r="L73" s="45"/>
      <c r="M73" s="58"/>
      <c r="N73" s="46"/>
      <c r="O73" s="43"/>
      <c r="P73" s="55"/>
      <c r="Q73" s="46"/>
      <c r="R73" s="43"/>
      <c r="S73" s="55"/>
      <c r="T73" s="55"/>
      <c r="U73" s="58"/>
      <c r="V73" s="55"/>
      <c r="W73" s="43"/>
      <c r="X73" s="46"/>
      <c r="Y73" s="146"/>
      <c r="Z73" s="45"/>
      <c r="AA73" s="45"/>
      <c r="AB73" s="43"/>
      <c r="AC73" s="45"/>
      <c r="AD73" s="45"/>
      <c r="AE73" s="101">
        <f t="shared" si="23"/>
        <v>1.0000000000218279E-2</v>
      </c>
    </row>
    <row r="74" spans="1:31" s="37" customFormat="1" x14ac:dyDescent="0.2">
      <c r="A74" s="128" t="s">
        <v>107</v>
      </c>
      <c r="B74" s="43"/>
      <c r="C74" s="43"/>
      <c r="D74" s="43"/>
      <c r="E74" s="43"/>
      <c r="F74" s="43"/>
      <c r="G74" s="45"/>
      <c r="H74" s="45">
        <v>0</v>
      </c>
      <c r="I74" s="58">
        <v>0</v>
      </c>
      <c r="J74" s="46"/>
      <c r="K74" s="43"/>
      <c r="L74" s="45"/>
      <c r="M74" s="58">
        <v>2500</v>
      </c>
      <c r="N74" s="46"/>
      <c r="O74" s="43"/>
      <c r="P74" s="55">
        <v>15930</v>
      </c>
      <c r="Q74" s="46">
        <v>18430</v>
      </c>
      <c r="R74" s="43"/>
      <c r="S74" s="55"/>
      <c r="T74" s="55"/>
      <c r="U74" s="58"/>
      <c r="V74" s="55"/>
      <c r="W74" s="43"/>
      <c r="X74" s="46"/>
      <c r="Y74" s="146"/>
      <c r="Z74" s="45"/>
      <c r="AA74" s="45"/>
      <c r="AB74" s="43"/>
      <c r="AC74" s="45"/>
      <c r="AD74" s="45"/>
      <c r="AE74" s="101">
        <f t="shared" si="23"/>
        <v>0</v>
      </c>
    </row>
    <row r="75" spans="1:31" s="37" customFormat="1" x14ac:dyDescent="0.2">
      <c r="A75" s="122" t="s">
        <v>108</v>
      </c>
      <c r="B75" s="43"/>
      <c r="C75" s="43"/>
      <c r="D75" s="43"/>
      <c r="E75" s="43"/>
      <c r="F75" s="43"/>
      <c r="G75" s="44"/>
      <c r="H75" s="45">
        <v>0</v>
      </c>
      <c r="I75" s="58">
        <v>0</v>
      </c>
      <c r="J75" s="46"/>
      <c r="K75" s="43"/>
      <c r="L75" s="45"/>
      <c r="M75" s="58">
        <v>0</v>
      </c>
      <c r="N75" s="46"/>
      <c r="O75" s="43"/>
      <c r="P75" s="124"/>
      <c r="Q75" s="46">
        <v>0</v>
      </c>
      <c r="R75" s="43"/>
      <c r="S75" s="124"/>
      <c r="T75" s="124"/>
      <c r="U75" s="123"/>
      <c r="V75" s="124"/>
      <c r="W75" s="152"/>
      <c r="X75" s="121"/>
      <c r="Y75" s="162"/>
      <c r="Z75" s="120"/>
      <c r="AA75" s="120"/>
      <c r="AB75" s="152"/>
      <c r="AC75" s="120"/>
      <c r="AD75" s="120"/>
      <c r="AE75" s="101">
        <f t="shared" si="23"/>
        <v>0</v>
      </c>
    </row>
    <row r="76" spans="1:31" s="37" customFormat="1" ht="25.5" x14ac:dyDescent="0.2">
      <c r="A76" s="128" t="s">
        <v>77</v>
      </c>
      <c r="B76" s="43"/>
      <c r="C76" s="43">
        <v>15545.257169999999</v>
      </c>
      <c r="D76" s="43"/>
      <c r="E76" s="43">
        <v>15545.26</v>
      </c>
      <c r="F76" s="43"/>
      <c r="G76" s="44"/>
      <c r="H76" s="45"/>
      <c r="I76" s="58"/>
      <c r="J76" s="46"/>
      <c r="K76" s="43"/>
      <c r="L76" s="45"/>
      <c r="M76" s="58"/>
      <c r="N76" s="46"/>
      <c r="O76" s="43"/>
      <c r="P76" s="55"/>
      <c r="Q76" s="46"/>
      <c r="R76" s="43"/>
      <c r="S76" s="55"/>
      <c r="T76" s="55"/>
      <c r="U76" s="58"/>
      <c r="V76" s="55"/>
      <c r="W76" s="43"/>
      <c r="X76" s="46"/>
      <c r="Y76" s="146"/>
      <c r="Z76" s="45"/>
      <c r="AA76" s="45"/>
      <c r="AB76" s="43"/>
      <c r="AC76" s="45"/>
      <c r="AD76" s="45"/>
      <c r="AE76" s="101">
        <f t="shared" si="23"/>
        <v>-2.8300000012677629E-3</v>
      </c>
    </row>
    <row r="77" spans="1:31" s="37" customFormat="1" ht="25.5" x14ac:dyDescent="0.2">
      <c r="A77" s="128" t="s">
        <v>79</v>
      </c>
      <c r="B77" s="43"/>
      <c r="C77" s="43">
        <v>10290.78996</v>
      </c>
      <c r="D77" s="43">
        <v>1156.56</v>
      </c>
      <c r="E77" s="43">
        <v>11447.35</v>
      </c>
      <c r="F77" s="43"/>
      <c r="G77" s="44"/>
      <c r="H77" s="45"/>
      <c r="I77" s="58"/>
      <c r="J77" s="46"/>
      <c r="K77" s="43"/>
      <c r="L77" s="45"/>
      <c r="M77" s="58"/>
      <c r="N77" s="46"/>
      <c r="O77" s="43"/>
      <c r="P77" s="55"/>
      <c r="Q77" s="46"/>
      <c r="R77" s="43"/>
      <c r="S77" s="55"/>
      <c r="T77" s="55"/>
      <c r="U77" s="58"/>
      <c r="V77" s="55"/>
      <c r="W77" s="43"/>
      <c r="X77" s="46"/>
      <c r="Y77" s="146"/>
      <c r="Z77" s="45"/>
      <c r="AA77" s="45"/>
      <c r="AB77" s="43"/>
      <c r="AC77" s="45"/>
      <c r="AD77" s="45"/>
      <c r="AE77" s="101">
        <f t="shared" si="23"/>
        <v>-4.000000080850441E-5</v>
      </c>
    </row>
    <row r="78" spans="1:31" s="37" customFormat="1" x14ac:dyDescent="0.2">
      <c r="A78" s="128" t="s">
        <v>78</v>
      </c>
      <c r="B78" s="43"/>
      <c r="C78" s="43"/>
      <c r="D78" s="43"/>
      <c r="E78" s="43"/>
      <c r="F78" s="43"/>
      <c r="G78" s="44">
        <v>359.74</v>
      </c>
      <c r="H78" s="45"/>
      <c r="I78" s="58"/>
      <c r="J78" s="46"/>
      <c r="K78" s="43"/>
      <c r="L78" s="45"/>
      <c r="M78" s="58"/>
      <c r="N78" s="46"/>
      <c r="O78" s="43"/>
      <c r="P78" s="55"/>
      <c r="Q78" s="46"/>
      <c r="R78" s="43"/>
      <c r="S78" s="55"/>
      <c r="T78" s="55"/>
      <c r="U78" s="58"/>
      <c r="V78" s="55"/>
      <c r="W78" s="43"/>
      <c r="X78" s="46"/>
      <c r="Y78" s="146"/>
      <c r="Z78" s="45"/>
      <c r="AA78" s="45"/>
      <c r="AB78" s="43"/>
      <c r="AC78" s="45"/>
      <c r="AD78" s="45"/>
      <c r="AE78" s="101">
        <f t="shared" si="23"/>
        <v>0</v>
      </c>
    </row>
    <row r="79" spans="1:31" s="37" customFormat="1" x14ac:dyDescent="0.2">
      <c r="A79" s="128" t="s">
        <v>80</v>
      </c>
      <c r="B79" s="43"/>
      <c r="C79" s="43"/>
      <c r="D79" s="43">
        <v>2148.46</v>
      </c>
      <c r="E79" s="43"/>
      <c r="F79" s="43"/>
      <c r="G79" s="44"/>
      <c r="H79" s="45"/>
      <c r="I79" s="58">
        <f>5292+3701.2</f>
        <v>8993.2000000000007</v>
      </c>
      <c r="J79" s="46"/>
      <c r="K79" s="43"/>
      <c r="L79" s="45"/>
      <c r="M79" s="58"/>
      <c r="N79" s="46">
        <v>11142</v>
      </c>
      <c r="O79" s="43"/>
      <c r="P79" s="55"/>
      <c r="Q79" s="46"/>
      <c r="R79" s="43"/>
      <c r="S79" s="55"/>
      <c r="T79" s="55"/>
      <c r="U79" s="58"/>
      <c r="V79" s="55"/>
      <c r="W79" s="43"/>
      <c r="X79" s="46"/>
      <c r="Y79" s="146"/>
      <c r="Z79" s="45"/>
      <c r="AA79" s="45"/>
      <c r="AB79" s="43"/>
      <c r="AC79" s="45"/>
      <c r="AD79" s="45"/>
      <c r="AE79" s="101">
        <f t="shared" si="23"/>
        <v>-0.34000000000014552</v>
      </c>
    </row>
    <row r="80" spans="1:31" s="37" customFormat="1" ht="25.5" x14ac:dyDescent="0.2">
      <c r="A80" s="128" t="s">
        <v>81</v>
      </c>
      <c r="B80" s="43"/>
      <c r="C80" s="43"/>
      <c r="D80" s="43"/>
      <c r="E80" s="43"/>
      <c r="F80" s="43"/>
      <c r="G80" s="44"/>
      <c r="H80" s="45"/>
      <c r="I80" s="58"/>
      <c r="J80" s="46"/>
      <c r="K80" s="43"/>
      <c r="L80" s="45"/>
      <c r="M80" s="58">
        <v>3473</v>
      </c>
      <c r="N80" s="46"/>
      <c r="O80" s="43"/>
      <c r="P80" s="55"/>
      <c r="Q80" s="46">
        <v>3473</v>
      </c>
      <c r="R80" s="43"/>
      <c r="S80" s="55"/>
      <c r="T80" s="55"/>
      <c r="U80" s="58"/>
      <c r="V80" s="55"/>
      <c r="W80" s="43"/>
      <c r="X80" s="46"/>
      <c r="Y80" s="146"/>
      <c r="Z80" s="45"/>
      <c r="AA80" s="45"/>
      <c r="AB80" s="43"/>
      <c r="AC80" s="45"/>
      <c r="AD80" s="45"/>
      <c r="AE80" s="101">
        <f t="shared" si="23"/>
        <v>0</v>
      </c>
    </row>
    <row r="81" spans="1:31" s="37" customFormat="1" x14ac:dyDescent="0.2">
      <c r="A81" s="128" t="s">
        <v>82</v>
      </c>
      <c r="B81" s="43"/>
      <c r="C81" s="43"/>
      <c r="D81" s="43"/>
      <c r="E81" s="43"/>
      <c r="F81" s="43"/>
      <c r="G81" s="44"/>
      <c r="H81" s="45"/>
      <c r="I81" s="58"/>
      <c r="J81" s="46"/>
      <c r="K81" s="43"/>
      <c r="L81" s="45"/>
      <c r="M81" s="58">
        <v>4096</v>
      </c>
      <c r="N81" s="46"/>
      <c r="O81" s="43"/>
      <c r="P81" s="55"/>
      <c r="Q81" s="46">
        <v>4096</v>
      </c>
      <c r="R81" s="43"/>
      <c r="S81" s="55"/>
      <c r="T81" s="55"/>
      <c r="U81" s="58"/>
      <c r="V81" s="55"/>
      <c r="W81" s="43"/>
      <c r="X81" s="46"/>
      <c r="Y81" s="146"/>
      <c r="Z81" s="45"/>
      <c r="AA81" s="45"/>
      <c r="AB81" s="43"/>
      <c r="AC81" s="45"/>
      <c r="AD81" s="45"/>
      <c r="AE81" s="101">
        <f t="shared" si="23"/>
        <v>0</v>
      </c>
    </row>
    <row r="82" spans="1:31" s="37" customFormat="1" x14ac:dyDescent="0.2">
      <c r="A82" s="128" t="s">
        <v>83</v>
      </c>
      <c r="B82" s="43"/>
      <c r="C82" s="43"/>
      <c r="D82" s="43"/>
      <c r="E82" s="43"/>
      <c r="F82" s="43"/>
      <c r="G82" s="44"/>
      <c r="H82" s="45"/>
      <c r="I82" s="58"/>
      <c r="J82" s="46"/>
      <c r="K82" s="43"/>
      <c r="L82" s="45"/>
      <c r="M82" s="58">
        <v>3819</v>
      </c>
      <c r="N82" s="46"/>
      <c r="O82" s="43"/>
      <c r="P82" s="55"/>
      <c r="Q82" s="46">
        <v>3819</v>
      </c>
      <c r="R82" s="43"/>
      <c r="S82" s="55"/>
      <c r="T82" s="55"/>
      <c r="U82" s="58"/>
      <c r="V82" s="55"/>
      <c r="W82" s="43"/>
      <c r="X82" s="46"/>
      <c r="Y82" s="146"/>
      <c r="Z82" s="45"/>
      <c r="AA82" s="45"/>
      <c r="AB82" s="43"/>
      <c r="AC82" s="45"/>
      <c r="AD82" s="45"/>
      <c r="AE82" s="101">
        <f t="shared" si="23"/>
        <v>0</v>
      </c>
    </row>
    <row r="83" spans="1:31" s="37" customFormat="1" x14ac:dyDescent="0.2">
      <c r="A83" s="128" t="s">
        <v>84</v>
      </c>
      <c r="B83" s="43"/>
      <c r="C83" s="43"/>
      <c r="D83" s="43"/>
      <c r="E83" s="43"/>
      <c r="F83" s="43"/>
      <c r="G83" s="44"/>
      <c r="H83" s="45"/>
      <c r="I83" s="58"/>
      <c r="J83" s="46"/>
      <c r="K83" s="43"/>
      <c r="L83" s="45"/>
      <c r="M83" s="58">
        <v>7264</v>
      </c>
      <c r="N83" s="46"/>
      <c r="O83" s="43"/>
      <c r="P83" s="55"/>
      <c r="Q83" s="46">
        <v>7264</v>
      </c>
      <c r="R83" s="43"/>
      <c r="S83" s="55"/>
      <c r="T83" s="55"/>
      <c r="U83" s="58"/>
      <c r="V83" s="55"/>
      <c r="W83" s="43"/>
      <c r="X83" s="46"/>
      <c r="Y83" s="146"/>
      <c r="Z83" s="45"/>
      <c r="AA83" s="45"/>
      <c r="AB83" s="43"/>
      <c r="AC83" s="45"/>
      <c r="AD83" s="45"/>
      <c r="AE83" s="101">
        <f t="shared" si="23"/>
        <v>0</v>
      </c>
    </row>
    <row r="84" spans="1:31" s="37" customFormat="1" x14ac:dyDescent="0.2">
      <c r="A84" s="128" t="s">
        <v>85</v>
      </c>
      <c r="B84" s="43"/>
      <c r="C84" s="43"/>
      <c r="D84" s="43"/>
      <c r="E84" s="43"/>
      <c r="F84" s="43"/>
      <c r="G84" s="44"/>
      <c r="H84" s="45"/>
      <c r="I84" s="58"/>
      <c r="J84" s="46"/>
      <c r="K84" s="43"/>
      <c r="L84" s="45"/>
      <c r="M84" s="58">
        <v>12270</v>
      </c>
      <c r="N84" s="46"/>
      <c r="O84" s="43"/>
      <c r="P84" s="55"/>
      <c r="Q84" s="46">
        <v>12270</v>
      </c>
      <c r="R84" s="43"/>
      <c r="S84" s="55"/>
      <c r="T84" s="55"/>
      <c r="U84" s="58"/>
      <c r="V84" s="55"/>
      <c r="W84" s="43"/>
      <c r="X84" s="46"/>
      <c r="Y84" s="146"/>
      <c r="Z84" s="45"/>
      <c r="AA84" s="45"/>
      <c r="AB84" s="43"/>
      <c r="AC84" s="45"/>
      <c r="AD84" s="45"/>
      <c r="AE84" s="101">
        <f t="shared" si="23"/>
        <v>0</v>
      </c>
    </row>
    <row r="85" spans="1:31" s="37" customFormat="1" x14ac:dyDescent="0.2">
      <c r="A85" s="128" t="s">
        <v>86</v>
      </c>
      <c r="B85" s="43"/>
      <c r="C85" s="43"/>
      <c r="D85" s="43"/>
      <c r="E85" s="43"/>
      <c r="F85" s="43"/>
      <c r="G85" s="44"/>
      <c r="H85" s="45"/>
      <c r="I85" s="58"/>
      <c r="J85" s="46"/>
      <c r="K85" s="43"/>
      <c r="L85" s="45"/>
      <c r="M85" s="58">
        <v>1561</v>
      </c>
      <c r="N85" s="46"/>
      <c r="O85" s="43"/>
      <c r="P85" s="55"/>
      <c r="Q85" s="46">
        <v>1561</v>
      </c>
      <c r="R85" s="43"/>
      <c r="S85" s="55"/>
      <c r="T85" s="55"/>
      <c r="U85" s="58"/>
      <c r="V85" s="55"/>
      <c r="W85" s="43"/>
      <c r="X85" s="46"/>
      <c r="Y85" s="146"/>
      <c r="Z85" s="45"/>
      <c r="AA85" s="45"/>
      <c r="AB85" s="43"/>
      <c r="AC85" s="45"/>
      <c r="AD85" s="45"/>
      <c r="AE85" s="101">
        <f t="shared" si="23"/>
        <v>0</v>
      </c>
    </row>
    <row r="86" spans="1:31" s="37" customFormat="1" x14ac:dyDescent="0.2">
      <c r="A86" s="128" t="s">
        <v>87</v>
      </c>
      <c r="B86" s="43"/>
      <c r="C86" s="43"/>
      <c r="D86" s="43"/>
      <c r="E86" s="43"/>
      <c r="F86" s="43"/>
      <c r="G86" s="44"/>
      <c r="H86" s="45"/>
      <c r="I86" s="58"/>
      <c r="J86" s="46"/>
      <c r="K86" s="43"/>
      <c r="L86" s="45"/>
      <c r="M86" s="58">
        <v>7683</v>
      </c>
      <c r="N86" s="46"/>
      <c r="O86" s="43"/>
      <c r="P86" s="55"/>
      <c r="Q86" s="46">
        <v>7683</v>
      </c>
      <c r="R86" s="43"/>
      <c r="S86" s="55"/>
      <c r="T86" s="55"/>
      <c r="U86" s="58"/>
      <c r="V86" s="55"/>
      <c r="W86" s="43"/>
      <c r="X86" s="46"/>
      <c r="Y86" s="146"/>
      <c r="Z86" s="45"/>
      <c r="AA86" s="45"/>
      <c r="AB86" s="43"/>
      <c r="AC86" s="45"/>
      <c r="AD86" s="45"/>
      <c r="AE86" s="101">
        <f t="shared" si="23"/>
        <v>0</v>
      </c>
    </row>
    <row r="87" spans="1:31" s="37" customFormat="1" x14ac:dyDescent="0.2">
      <c r="A87" s="128" t="s">
        <v>88</v>
      </c>
      <c r="B87" s="43"/>
      <c r="C87" s="43"/>
      <c r="D87" s="43"/>
      <c r="E87" s="43"/>
      <c r="F87" s="43"/>
      <c r="G87" s="44"/>
      <c r="H87" s="45"/>
      <c r="I87" s="58"/>
      <c r="J87" s="46"/>
      <c r="K87" s="43"/>
      <c r="L87" s="45"/>
      <c r="M87" s="58">
        <v>10928</v>
      </c>
      <c r="N87" s="46"/>
      <c r="O87" s="43"/>
      <c r="P87" s="55"/>
      <c r="Q87" s="46">
        <v>10928</v>
      </c>
      <c r="R87" s="43"/>
      <c r="S87" s="55"/>
      <c r="T87" s="55"/>
      <c r="U87" s="58"/>
      <c r="V87" s="55"/>
      <c r="W87" s="43"/>
      <c r="X87" s="46"/>
      <c r="Y87" s="146"/>
      <c r="Z87" s="45"/>
      <c r="AA87" s="45"/>
      <c r="AB87" s="43"/>
      <c r="AC87" s="45"/>
      <c r="AD87" s="45"/>
      <c r="AE87" s="101">
        <f t="shared" si="23"/>
        <v>0</v>
      </c>
    </row>
    <row r="88" spans="1:31" s="37" customFormat="1" x14ac:dyDescent="0.2">
      <c r="A88" s="128" t="s">
        <v>89</v>
      </c>
      <c r="B88" s="43"/>
      <c r="C88" s="43"/>
      <c r="D88" s="43"/>
      <c r="E88" s="43"/>
      <c r="F88" s="43"/>
      <c r="G88" s="44"/>
      <c r="H88" s="45"/>
      <c r="I88" s="58"/>
      <c r="J88" s="46"/>
      <c r="K88" s="43"/>
      <c r="L88" s="45"/>
      <c r="M88" s="58">
        <v>3356</v>
      </c>
      <c r="N88" s="46"/>
      <c r="O88" s="43"/>
      <c r="P88" s="55"/>
      <c r="Q88" s="46">
        <v>3356</v>
      </c>
      <c r="R88" s="43"/>
      <c r="S88" s="55"/>
      <c r="T88" s="55"/>
      <c r="U88" s="58"/>
      <c r="V88" s="55"/>
      <c r="W88" s="43"/>
      <c r="X88" s="46"/>
      <c r="Y88" s="146"/>
      <c r="Z88" s="45"/>
      <c r="AA88" s="45"/>
      <c r="AB88" s="43"/>
      <c r="AC88" s="45"/>
      <c r="AD88" s="45"/>
      <c r="AE88" s="101">
        <f t="shared" si="23"/>
        <v>0</v>
      </c>
    </row>
    <row r="89" spans="1:31" s="37" customFormat="1" x14ac:dyDescent="0.2">
      <c r="A89" s="128" t="s">
        <v>90</v>
      </c>
      <c r="B89" s="43"/>
      <c r="C89" s="43"/>
      <c r="D89" s="43"/>
      <c r="E89" s="43"/>
      <c r="F89" s="43"/>
      <c r="G89" s="44"/>
      <c r="H89" s="45"/>
      <c r="I89" s="58"/>
      <c r="J89" s="46"/>
      <c r="K89" s="43"/>
      <c r="L89" s="45"/>
      <c r="M89" s="58">
        <v>2380</v>
      </c>
      <c r="N89" s="46"/>
      <c r="O89" s="43"/>
      <c r="P89" s="55"/>
      <c r="Q89" s="46">
        <v>2380</v>
      </c>
      <c r="R89" s="43"/>
      <c r="S89" s="55"/>
      <c r="T89" s="55"/>
      <c r="U89" s="58"/>
      <c r="V89" s="55"/>
      <c r="W89" s="43"/>
      <c r="X89" s="46"/>
      <c r="Y89" s="146"/>
      <c r="Z89" s="45"/>
      <c r="AA89" s="45"/>
      <c r="AB89" s="43"/>
      <c r="AC89" s="45"/>
      <c r="AD89" s="45"/>
      <c r="AE89" s="101">
        <f t="shared" si="23"/>
        <v>0</v>
      </c>
    </row>
    <row r="90" spans="1:31" s="37" customFormat="1" x14ac:dyDescent="0.2">
      <c r="A90" s="128" t="s">
        <v>155</v>
      </c>
      <c r="B90" s="43"/>
      <c r="C90" s="43"/>
      <c r="D90" s="43"/>
      <c r="E90" s="43"/>
      <c r="F90" s="43"/>
      <c r="G90" s="44"/>
      <c r="H90" s="45"/>
      <c r="I90" s="58"/>
      <c r="J90" s="46"/>
      <c r="K90" s="43"/>
      <c r="L90" s="43"/>
      <c r="M90" s="58">
        <v>8191</v>
      </c>
      <c r="N90" s="46"/>
      <c r="O90" s="43"/>
      <c r="P90" s="55"/>
      <c r="Q90" s="46">
        <v>8191</v>
      </c>
      <c r="R90" s="43"/>
      <c r="S90" s="55"/>
      <c r="T90" s="55"/>
      <c r="U90" s="58"/>
      <c r="V90" s="55"/>
      <c r="W90" s="43"/>
      <c r="X90" s="46"/>
      <c r="Y90" s="146"/>
      <c r="Z90" s="45"/>
      <c r="AA90" s="45"/>
      <c r="AB90" s="43"/>
      <c r="AC90" s="45"/>
      <c r="AD90" s="45"/>
      <c r="AE90" s="101">
        <f t="shared" si="23"/>
        <v>0</v>
      </c>
    </row>
    <row r="91" spans="1:31" s="37" customFormat="1" x14ac:dyDescent="0.2">
      <c r="A91" s="122" t="s">
        <v>156</v>
      </c>
      <c r="B91" s="43"/>
      <c r="C91" s="43"/>
      <c r="D91" s="43"/>
      <c r="E91" s="43"/>
      <c r="F91" s="43"/>
      <c r="G91" s="44"/>
      <c r="H91" s="45"/>
      <c r="I91" s="58"/>
      <c r="J91" s="46"/>
      <c r="K91" s="43"/>
      <c r="L91" s="43"/>
      <c r="M91" s="59">
        <v>0</v>
      </c>
      <c r="N91" s="24"/>
      <c r="O91" s="43"/>
      <c r="P91" s="124"/>
      <c r="Q91" s="121"/>
      <c r="R91" s="43"/>
      <c r="S91" s="55"/>
      <c r="T91" s="55"/>
      <c r="U91" s="58"/>
      <c r="V91" s="55"/>
      <c r="W91" s="43"/>
      <c r="X91" s="46"/>
      <c r="Y91" s="146"/>
      <c r="Z91" s="45"/>
      <c r="AA91" s="45"/>
      <c r="AB91" s="43"/>
      <c r="AC91" s="45"/>
      <c r="AD91" s="45"/>
      <c r="AE91" s="101">
        <f t="shared" si="23"/>
        <v>0</v>
      </c>
    </row>
    <row r="92" spans="1:31" s="37" customFormat="1" ht="25.5" x14ac:dyDescent="0.2">
      <c r="A92" s="128" t="s">
        <v>157</v>
      </c>
      <c r="B92" s="43"/>
      <c r="C92" s="43"/>
      <c r="D92" s="43"/>
      <c r="E92" s="43"/>
      <c r="F92" s="43"/>
      <c r="G92" s="44"/>
      <c r="H92" s="45"/>
      <c r="I92" s="58"/>
      <c r="J92" s="46"/>
      <c r="K92" s="43"/>
      <c r="L92" s="43"/>
      <c r="M92" s="58">
        <v>9804</v>
      </c>
      <c r="N92" s="46"/>
      <c r="O92" s="43"/>
      <c r="P92" s="55"/>
      <c r="Q92" s="46">
        <v>9804</v>
      </c>
      <c r="R92" s="43"/>
      <c r="S92" s="55"/>
      <c r="T92" s="55"/>
      <c r="U92" s="58"/>
      <c r="V92" s="55"/>
      <c r="W92" s="43"/>
      <c r="X92" s="46"/>
      <c r="Y92" s="146"/>
      <c r="Z92" s="45"/>
      <c r="AA92" s="45"/>
      <c r="AB92" s="43"/>
      <c r="AC92" s="45"/>
      <c r="AD92" s="45"/>
      <c r="AE92" s="101">
        <f t="shared" si="23"/>
        <v>0</v>
      </c>
    </row>
    <row r="93" spans="1:31" s="37" customFormat="1" x14ac:dyDescent="0.2">
      <c r="A93" s="128" t="s">
        <v>158</v>
      </c>
      <c r="B93" s="43"/>
      <c r="C93" s="43"/>
      <c r="D93" s="43"/>
      <c r="E93" s="43"/>
      <c r="F93" s="43"/>
      <c r="G93" s="44"/>
      <c r="H93" s="45"/>
      <c r="I93" s="58"/>
      <c r="J93" s="46"/>
      <c r="K93" s="43"/>
      <c r="L93" s="43"/>
      <c r="M93" s="58">
        <v>11853</v>
      </c>
      <c r="N93" s="46"/>
      <c r="O93" s="43"/>
      <c r="P93" s="55"/>
      <c r="Q93" s="46">
        <v>11853</v>
      </c>
      <c r="R93" s="43"/>
      <c r="S93" s="55"/>
      <c r="T93" s="55"/>
      <c r="U93" s="58"/>
      <c r="V93" s="55"/>
      <c r="W93" s="43"/>
      <c r="X93" s="46"/>
      <c r="Y93" s="146"/>
      <c r="Z93" s="45"/>
      <c r="AA93" s="45"/>
      <c r="AB93" s="43"/>
      <c r="AC93" s="45"/>
      <c r="AD93" s="45"/>
      <c r="AE93" s="101">
        <f t="shared" si="23"/>
        <v>0</v>
      </c>
    </row>
    <row r="94" spans="1:31" s="37" customFormat="1" ht="25.5" x14ac:dyDescent="0.2">
      <c r="A94" s="128" t="s">
        <v>159</v>
      </c>
      <c r="B94" s="43"/>
      <c r="C94" s="43"/>
      <c r="D94" s="43"/>
      <c r="E94" s="43"/>
      <c r="F94" s="43"/>
      <c r="G94" s="44"/>
      <c r="H94" s="45"/>
      <c r="I94" s="58"/>
      <c r="J94" s="46"/>
      <c r="K94" s="43"/>
      <c r="L94" s="43"/>
      <c r="M94" s="58">
        <v>15042</v>
      </c>
      <c r="N94" s="46"/>
      <c r="O94" s="43"/>
      <c r="P94" s="55"/>
      <c r="Q94" s="46">
        <v>15042</v>
      </c>
      <c r="R94" s="43"/>
      <c r="S94" s="55"/>
      <c r="T94" s="55"/>
      <c r="U94" s="58"/>
      <c r="V94" s="55"/>
      <c r="W94" s="43"/>
      <c r="X94" s="46"/>
      <c r="Y94" s="146"/>
      <c r="Z94" s="45"/>
      <c r="AA94" s="45"/>
      <c r="AB94" s="43"/>
      <c r="AC94" s="45"/>
      <c r="AD94" s="45"/>
      <c r="AE94" s="101">
        <f t="shared" si="23"/>
        <v>0</v>
      </c>
    </row>
    <row r="95" spans="1:31" s="37" customFormat="1" ht="25.5" x14ac:dyDescent="0.2">
      <c r="A95" s="149" t="s">
        <v>207</v>
      </c>
      <c r="B95" s="146"/>
      <c r="C95" s="43"/>
      <c r="D95" s="43"/>
      <c r="E95" s="43"/>
      <c r="F95" s="43"/>
      <c r="G95" s="44"/>
      <c r="H95" s="45"/>
      <c r="I95" s="58"/>
      <c r="J95" s="46"/>
      <c r="K95" s="43"/>
      <c r="L95" s="146"/>
      <c r="M95" s="58">
        <v>30175</v>
      </c>
      <c r="N95" s="46"/>
      <c r="O95" s="43"/>
      <c r="P95" s="55">
        <v>87975</v>
      </c>
      <c r="Q95" s="46">
        <v>30175</v>
      </c>
      <c r="R95" s="43"/>
      <c r="S95" s="55"/>
      <c r="T95" s="55">
        <v>95540</v>
      </c>
      <c r="U95" s="58">
        <v>87975</v>
      </c>
      <c r="V95" s="55"/>
      <c r="W95" s="43">
        <v>250155</v>
      </c>
      <c r="X95" s="46">
        <v>95540</v>
      </c>
      <c r="Y95" s="146"/>
      <c r="Z95" s="45">
        <v>365500</v>
      </c>
      <c r="AA95" s="45">
        <v>250155</v>
      </c>
      <c r="AB95" s="43"/>
      <c r="AC95" s="45"/>
      <c r="AD95" s="45">
        <v>365500</v>
      </c>
      <c r="AE95" s="101"/>
    </row>
    <row r="96" spans="1:31" s="37" customFormat="1" x14ac:dyDescent="0.2">
      <c r="A96" s="149" t="s">
        <v>208</v>
      </c>
      <c r="B96" s="146"/>
      <c r="C96" s="43"/>
      <c r="D96" s="43"/>
      <c r="E96" s="43"/>
      <c r="F96" s="43"/>
      <c r="G96" s="44"/>
      <c r="H96" s="45"/>
      <c r="I96" s="58"/>
      <c r="J96" s="46"/>
      <c r="K96" s="43"/>
      <c r="L96" s="146"/>
      <c r="M96" s="58">
        <v>4000</v>
      </c>
      <c r="N96" s="46"/>
      <c r="O96" s="43"/>
      <c r="P96" s="55">
        <v>4000</v>
      </c>
      <c r="Q96" s="46">
        <v>4000</v>
      </c>
      <c r="R96" s="43"/>
      <c r="S96" s="55"/>
      <c r="T96" s="55">
        <v>63500</v>
      </c>
      <c r="U96" s="58">
        <v>4000</v>
      </c>
      <c r="V96" s="55"/>
      <c r="W96" s="43">
        <v>97500</v>
      </c>
      <c r="X96" s="46">
        <v>63500</v>
      </c>
      <c r="Y96" s="146"/>
      <c r="Z96" s="45">
        <v>80000</v>
      </c>
      <c r="AA96" s="45">
        <v>97500</v>
      </c>
      <c r="AB96" s="43"/>
      <c r="AC96" s="45"/>
      <c r="AD96" s="45">
        <v>80000</v>
      </c>
      <c r="AE96" s="101"/>
    </row>
    <row r="97" spans="1:31" ht="25.5" x14ac:dyDescent="0.2">
      <c r="A97" s="148" t="s">
        <v>179</v>
      </c>
      <c r="B97" s="23"/>
      <c r="C97" s="23"/>
      <c r="D97" s="23"/>
      <c r="E97" s="23"/>
      <c r="F97" s="23">
        <v>162175.28</v>
      </c>
      <c r="G97" s="6"/>
      <c r="H97" s="6">
        <v>45000</v>
      </c>
      <c r="I97" s="59"/>
      <c r="J97" s="24"/>
      <c r="K97" s="23"/>
      <c r="L97" s="6">
        <v>0</v>
      </c>
      <c r="M97" s="59"/>
      <c r="N97" s="24"/>
      <c r="O97" s="23">
        <v>0</v>
      </c>
      <c r="P97" s="56"/>
      <c r="Q97" s="24"/>
      <c r="R97" s="23">
        <v>0</v>
      </c>
      <c r="S97" s="56"/>
      <c r="T97" s="56"/>
      <c r="U97" s="59"/>
      <c r="V97" s="56"/>
      <c r="W97" s="23"/>
      <c r="X97" s="24"/>
      <c r="Y97" s="159"/>
      <c r="Z97" s="6"/>
      <c r="AA97" s="6"/>
      <c r="AB97" s="23"/>
      <c r="AC97" s="6"/>
      <c r="AD97" s="6"/>
      <c r="AE97" s="101">
        <f t="shared" ref="AE97:AE105" si="24">C97+D97+I97+M97+P97+S97-E97-J97-N97-Q97-U97</f>
        <v>0</v>
      </c>
    </row>
    <row r="98" spans="1:31" ht="25.5" x14ac:dyDescent="0.2">
      <c r="A98" s="16" t="s">
        <v>180</v>
      </c>
      <c r="B98" s="23"/>
      <c r="C98" s="23"/>
      <c r="D98" s="23"/>
      <c r="E98" s="23"/>
      <c r="F98" s="23"/>
      <c r="G98" s="6"/>
      <c r="H98" s="6">
        <v>0</v>
      </c>
      <c r="I98" s="59"/>
      <c r="J98" s="24"/>
      <c r="K98" s="47"/>
      <c r="L98" s="6">
        <v>5500</v>
      </c>
      <c r="M98" s="59"/>
      <c r="N98" s="24"/>
      <c r="O98" s="23">
        <v>25000</v>
      </c>
      <c r="P98" s="56"/>
      <c r="Q98" s="24"/>
      <c r="R98" s="23">
        <v>0</v>
      </c>
      <c r="S98" s="56"/>
      <c r="T98" s="56"/>
      <c r="U98" s="59"/>
      <c r="V98" s="56"/>
      <c r="W98" s="23"/>
      <c r="X98" s="24"/>
      <c r="Y98" s="159"/>
      <c r="Z98" s="6"/>
      <c r="AA98" s="6"/>
      <c r="AB98" s="23"/>
      <c r="AC98" s="6"/>
      <c r="AD98" s="6"/>
      <c r="AE98" s="101">
        <f t="shared" si="24"/>
        <v>0</v>
      </c>
    </row>
    <row r="99" spans="1:31" ht="25.5" x14ac:dyDescent="0.2">
      <c r="A99" s="16" t="s">
        <v>181</v>
      </c>
      <c r="B99" s="23"/>
      <c r="C99" s="23"/>
      <c r="D99" s="23"/>
      <c r="E99" s="23"/>
      <c r="F99" s="23"/>
      <c r="G99" s="6"/>
      <c r="H99" s="6">
        <v>2090</v>
      </c>
      <c r="I99" s="59"/>
      <c r="J99" s="24"/>
      <c r="K99" s="47"/>
      <c r="L99" s="6">
        <v>0</v>
      </c>
      <c r="M99" s="59"/>
      <c r="N99" s="24"/>
      <c r="O99" s="23">
        <v>26000</v>
      </c>
      <c r="P99" s="56"/>
      <c r="Q99" s="24"/>
      <c r="R99" s="23">
        <v>27610</v>
      </c>
      <c r="S99" s="56"/>
      <c r="T99" s="56"/>
      <c r="U99" s="59"/>
      <c r="V99" s="56"/>
      <c r="W99" s="23"/>
      <c r="X99" s="24"/>
      <c r="Y99" s="159"/>
      <c r="Z99" s="6"/>
      <c r="AA99" s="6"/>
      <c r="AB99" s="23"/>
      <c r="AC99" s="6"/>
      <c r="AD99" s="6"/>
      <c r="AE99" s="101">
        <f t="shared" si="24"/>
        <v>0</v>
      </c>
    </row>
    <row r="100" spans="1:31" ht="38.25" x14ac:dyDescent="0.2">
      <c r="A100" s="16" t="s">
        <v>182</v>
      </c>
      <c r="B100" s="23"/>
      <c r="C100" s="23"/>
      <c r="D100" s="23"/>
      <c r="E100" s="23"/>
      <c r="F100" s="23"/>
      <c r="G100" s="6"/>
      <c r="H100" s="6">
        <v>31098</v>
      </c>
      <c r="I100" s="59"/>
      <c r="J100" s="24"/>
      <c r="K100" s="23"/>
      <c r="L100" s="6">
        <v>19500</v>
      </c>
      <c r="M100" s="59"/>
      <c r="N100" s="24"/>
      <c r="O100" s="23">
        <v>0</v>
      </c>
      <c r="P100" s="56"/>
      <c r="Q100" s="24"/>
      <c r="R100" s="23">
        <v>0</v>
      </c>
      <c r="S100" s="56"/>
      <c r="T100" s="56"/>
      <c r="U100" s="59"/>
      <c r="V100" s="56"/>
      <c r="W100" s="23"/>
      <c r="X100" s="24"/>
      <c r="Y100" s="159"/>
      <c r="Z100" s="6"/>
      <c r="AA100" s="6"/>
      <c r="AB100" s="23"/>
      <c r="AC100" s="6"/>
      <c r="AD100" s="6"/>
      <c r="AE100" s="101">
        <f t="shared" si="24"/>
        <v>0</v>
      </c>
    </row>
    <row r="101" spans="1:31" ht="38.25" x14ac:dyDescent="0.2">
      <c r="A101" s="16" t="s">
        <v>183</v>
      </c>
      <c r="B101" s="23"/>
      <c r="C101" s="23"/>
      <c r="D101" s="23"/>
      <c r="E101" s="23"/>
      <c r="F101" s="23"/>
      <c r="G101" s="6"/>
      <c r="H101" s="6">
        <v>5500</v>
      </c>
      <c r="I101" s="59"/>
      <c r="J101" s="24"/>
      <c r="K101" s="23"/>
      <c r="L101" s="6">
        <v>0</v>
      </c>
      <c r="M101" s="59"/>
      <c r="N101" s="24"/>
      <c r="O101" s="23">
        <v>0</v>
      </c>
      <c r="P101" s="56"/>
      <c r="Q101" s="24"/>
      <c r="R101" s="23">
        <v>0</v>
      </c>
      <c r="S101" s="56"/>
      <c r="T101" s="56"/>
      <c r="U101" s="59"/>
      <c r="V101" s="56"/>
      <c r="W101" s="23"/>
      <c r="X101" s="24"/>
      <c r="Y101" s="159"/>
      <c r="Z101" s="6"/>
      <c r="AA101" s="6"/>
      <c r="AB101" s="23"/>
      <c r="AC101" s="6"/>
      <c r="AD101" s="6"/>
      <c r="AE101" s="101">
        <f t="shared" si="24"/>
        <v>0</v>
      </c>
    </row>
    <row r="102" spans="1:31" ht="38.25" x14ac:dyDescent="0.2">
      <c r="A102" s="16" t="s">
        <v>184</v>
      </c>
      <c r="B102" s="23"/>
      <c r="C102" s="23"/>
      <c r="D102" s="23"/>
      <c r="E102" s="23"/>
      <c r="F102" s="23"/>
      <c r="G102" s="6"/>
      <c r="H102" s="6">
        <v>20571</v>
      </c>
      <c r="I102" s="59"/>
      <c r="J102" s="24"/>
      <c r="K102" s="23"/>
      <c r="L102" s="6">
        <v>113428</v>
      </c>
      <c r="M102" s="59"/>
      <c r="N102" s="24"/>
      <c r="O102" s="23">
        <v>42000</v>
      </c>
      <c r="P102" s="56"/>
      <c r="Q102" s="24"/>
      <c r="R102" s="23">
        <v>0</v>
      </c>
      <c r="S102" s="56"/>
      <c r="T102" s="56"/>
      <c r="U102" s="59"/>
      <c r="V102" s="56"/>
      <c r="W102" s="23"/>
      <c r="X102" s="24"/>
      <c r="Y102" s="159"/>
      <c r="Z102" s="6"/>
      <c r="AA102" s="6"/>
      <c r="AB102" s="23"/>
      <c r="AC102" s="6"/>
      <c r="AD102" s="6"/>
      <c r="AE102" s="101">
        <f t="shared" si="24"/>
        <v>0</v>
      </c>
    </row>
    <row r="103" spans="1:31" ht="25.5" x14ac:dyDescent="0.2">
      <c r="A103" s="16" t="s">
        <v>185</v>
      </c>
      <c r="B103" s="23"/>
      <c r="C103" s="23"/>
      <c r="D103" s="23"/>
      <c r="E103" s="23"/>
      <c r="F103" s="23"/>
      <c r="G103" s="6"/>
      <c r="H103" s="6">
        <v>51000</v>
      </c>
      <c r="I103" s="59"/>
      <c r="J103" s="24"/>
      <c r="K103" s="47"/>
      <c r="L103" s="6">
        <v>0</v>
      </c>
      <c r="M103" s="59"/>
      <c r="N103" s="24"/>
      <c r="O103" s="23">
        <v>0</v>
      </c>
      <c r="P103" s="56"/>
      <c r="Q103" s="24"/>
      <c r="R103" s="23">
        <v>0</v>
      </c>
      <c r="S103" s="56"/>
      <c r="T103" s="56"/>
      <c r="U103" s="59"/>
      <c r="V103" s="56"/>
      <c r="W103" s="23"/>
      <c r="X103" s="24"/>
      <c r="Y103" s="159"/>
      <c r="Z103" s="6"/>
      <c r="AA103" s="6"/>
      <c r="AB103" s="23"/>
      <c r="AC103" s="6"/>
      <c r="AD103" s="6"/>
      <c r="AE103" s="101">
        <f t="shared" si="24"/>
        <v>0</v>
      </c>
    </row>
    <row r="104" spans="1:31" ht="25.5" x14ac:dyDescent="0.2">
      <c r="A104" s="19" t="s">
        <v>186</v>
      </c>
      <c r="B104" s="23"/>
      <c r="C104" s="23"/>
      <c r="D104" s="23"/>
      <c r="E104" s="23"/>
      <c r="F104" s="23"/>
      <c r="G104" s="6"/>
      <c r="H104" s="6">
        <v>25000</v>
      </c>
      <c r="I104" s="59"/>
      <c r="J104" s="24"/>
      <c r="K104" s="47"/>
      <c r="L104" s="6">
        <v>0</v>
      </c>
      <c r="M104" s="59"/>
      <c r="N104" s="24"/>
      <c r="O104" s="23">
        <v>0</v>
      </c>
      <c r="P104" s="56"/>
      <c r="Q104" s="24"/>
      <c r="R104" s="23">
        <v>0</v>
      </c>
      <c r="S104" s="56"/>
      <c r="T104" s="56"/>
      <c r="U104" s="59"/>
      <c r="V104" s="56"/>
      <c r="W104" s="23"/>
      <c r="X104" s="24"/>
      <c r="Y104" s="159"/>
      <c r="Z104" s="6"/>
      <c r="AA104" s="6"/>
      <c r="AB104" s="23"/>
      <c r="AC104" s="6"/>
      <c r="AD104" s="6"/>
      <c r="AE104" s="101">
        <f t="shared" si="24"/>
        <v>0</v>
      </c>
    </row>
    <row r="105" spans="1:31" ht="51" x14ac:dyDescent="0.2">
      <c r="A105" s="16" t="s">
        <v>187</v>
      </c>
      <c r="B105" s="23"/>
      <c r="C105" s="23"/>
      <c r="D105" s="23"/>
      <c r="E105" s="23"/>
      <c r="F105" s="23"/>
      <c r="G105" s="6"/>
      <c r="H105" s="6">
        <v>10000</v>
      </c>
      <c r="I105" s="59"/>
      <c r="J105" s="24"/>
      <c r="K105" s="47"/>
      <c r="L105" s="6">
        <v>28000</v>
      </c>
      <c r="M105" s="59"/>
      <c r="N105" s="24"/>
      <c r="O105" s="23">
        <v>0</v>
      </c>
      <c r="P105" s="56"/>
      <c r="Q105" s="24"/>
      <c r="R105" s="23">
        <v>0</v>
      </c>
      <c r="S105" s="56"/>
      <c r="T105" s="56"/>
      <c r="U105" s="59"/>
      <c r="V105" s="56"/>
      <c r="W105" s="23"/>
      <c r="X105" s="24"/>
      <c r="Y105" s="159"/>
      <c r="Z105" s="6"/>
      <c r="AA105" s="6"/>
      <c r="AB105" s="23"/>
      <c r="AC105" s="6"/>
      <c r="AD105" s="6"/>
      <c r="AE105" s="101">
        <f t="shared" si="24"/>
        <v>0</v>
      </c>
    </row>
    <row r="106" spans="1:31" ht="25.5" x14ac:dyDescent="0.2">
      <c r="A106" s="16" t="s">
        <v>222</v>
      </c>
      <c r="B106" s="23"/>
      <c r="C106" s="23"/>
      <c r="D106" s="23"/>
      <c r="E106" s="23"/>
      <c r="F106" s="23"/>
      <c r="G106" s="6"/>
      <c r="H106" s="6">
        <v>1500</v>
      </c>
      <c r="I106" s="59"/>
      <c r="J106" s="24"/>
      <c r="K106" s="47"/>
      <c r="L106" s="6">
        <v>12850</v>
      </c>
      <c r="M106" s="59"/>
      <c r="N106" s="24"/>
      <c r="O106" s="23"/>
      <c r="P106" s="56"/>
      <c r="Q106" s="24"/>
      <c r="R106" s="23"/>
      <c r="S106" s="56"/>
      <c r="T106" s="56"/>
      <c r="U106" s="59"/>
      <c r="V106" s="56"/>
      <c r="W106" s="23"/>
      <c r="X106" s="24"/>
      <c r="Y106" s="159"/>
      <c r="Z106" s="6"/>
      <c r="AA106" s="6"/>
      <c r="AB106" s="23"/>
      <c r="AC106" s="6"/>
      <c r="AD106" s="6"/>
      <c r="AE106" s="101"/>
    </row>
    <row r="107" spans="1:31" ht="25.5" x14ac:dyDescent="0.2">
      <c r="A107" s="16" t="s">
        <v>188</v>
      </c>
      <c r="B107" s="23"/>
      <c r="C107" s="23"/>
      <c r="D107" s="23"/>
      <c r="E107" s="23"/>
      <c r="F107" s="23"/>
      <c r="G107" s="6"/>
      <c r="H107" s="6">
        <v>27200</v>
      </c>
      <c r="I107" s="59"/>
      <c r="J107" s="24"/>
      <c r="K107" s="23"/>
      <c r="L107" s="6">
        <v>500</v>
      </c>
      <c r="M107" s="59"/>
      <c r="N107" s="24"/>
      <c r="O107" s="23">
        <v>0</v>
      </c>
      <c r="P107" s="56"/>
      <c r="Q107" s="24"/>
      <c r="R107" s="23">
        <v>0</v>
      </c>
      <c r="S107" s="56"/>
      <c r="T107" s="56"/>
      <c r="U107" s="59"/>
      <c r="V107" s="56"/>
      <c r="W107" s="23"/>
      <c r="X107" s="24"/>
      <c r="Y107" s="159"/>
      <c r="Z107" s="6"/>
      <c r="AA107" s="6"/>
      <c r="AB107" s="23"/>
      <c r="AC107" s="6"/>
      <c r="AD107" s="6"/>
      <c r="AE107" s="101">
        <f>C107+D107+I107+M107+P107+S107-E107-J107-N107-Q107-U107</f>
        <v>0</v>
      </c>
    </row>
    <row r="108" spans="1:31" ht="25.5" x14ac:dyDescent="0.2">
      <c r="A108" s="16" t="s">
        <v>189</v>
      </c>
      <c r="B108" s="23"/>
      <c r="C108" s="23"/>
      <c r="D108" s="23"/>
      <c r="E108" s="23"/>
      <c r="F108" s="23"/>
      <c r="G108" s="6"/>
      <c r="H108" s="6">
        <v>25700</v>
      </c>
      <c r="I108" s="59"/>
      <c r="J108" s="24"/>
      <c r="K108" s="47"/>
      <c r="L108" s="6">
        <v>0</v>
      </c>
      <c r="M108" s="59"/>
      <c r="N108" s="24"/>
      <c r="O108" s="23">
        <v>0</v>
      </c>
      <c r="P108" s="56"/>
      <c r="Q108" s="24"/>
      <c r="R108" s="23">
        <v>0</v>
      </c>
      <c r="S108" s="56"/>
      <c r="T108" s="56"/>
      <c r="U108" s="59"/>
      <c r="V108" s="56"/>
      <c r="W108" s="23"/>
      <c r="X108" s="24"/>
      <c r="Y108" s="159"/>
      <c r="Z108" s="6"/>
      <c r="AA108" s="6"/>
      <c r="AB108" s="23"/>
      <c r="AC108" s="6"/>
      <c r="AD108" s="6"/>
      <c r="AE108" s="101">
        <f>C108+D108+I108+M108+P108+S108-E108-J108-N108-Q108-U108</f>
        <v>0</v>
      </c>
    </row>
    <row r="109" spans="1:31" ht="25.5" x14ac:dyDescent="0.2">
      <c r="A109" s="16" t="s">
        <v>190</v>
      </c>
      <c r="B109" s="23"/>
      <c r="C109" s="23"/>
      <c r="D109" s="23"/>
      <c r="E109" s="23"/>
      <c r="F109" s="23"/>
      <c r="G109" s="6"/>
      <c r="H109" s="6">
        <v>40000</v>
      </c>
      <c r="I109" s="59"/>
      <c r="J109" s="24"/>
      <c r="K109" s="23"/>
      <c r="L109" s="6">
        <v>0</v>
      </c>
      <c r="M109" s="59"/>
      <c r="N109" s="24"/>
      <c r="O109" s="23">
        <v>0</v>
      </c>
      <c r="P109" s="56"/>
      <c r="Q109" s="24"/>
      <c r="R109" s="23">
        <v>0</v>
      </c>
      <c r="S109" s="56"/>
      <c r="T109" s="56"/>
      <c r="U109" s="59"/>
      <c r="V109" s="56"/>
      <c r="W109" s="23"/>
      <c r="X109" s="24"/>
      <c r="Y109" s="159"/>
      <c r="Z109" s="6"/>
      <c r="AA109" s="6"/>
      <c r="AB109" s="23"/>
      <c r="AC109" s="6"/>
      <c r="AD109" s="6"/>
      <c r="AE109" s="101">
        <f>C109+D109+I109+M109+P109+S109-E109-J109-N109-Q109-U109</f>
        <v>0</v>
      </c>
    </row>
    <row r="110" spans="1:31" ht="38.25" x14ac:dyDescent="0.2">
      <c r="A110" s="16" t="s">
        <v>191</v>
      </c>
      <c r="B110" s="23"/>
      <c r="C110" s="23"/>
      <c r="D110" s="23"/>
      <c r="E110" s="23"/>
      <c r="F110" s="23"/>
      <c r="G110" s="6"/>
      <c r="H110" s="6">
        <v>500</v>
      </c>
      <c r="I110" s="59"/>
      <c r="J110" s="24"/>
      <c r="K110" s="23"/>
      <c r="L110" s="6">
        <v>50639</v>
      </c>
      <c r="M110" s="59"/>
      <c r="N110" s="24"/>
      <c r="O110" s="23">
        <v>0</v>
      </c>
      <c r="P110" s="56"/>
      <c r="Q110" s="24"/>
      <c r="R110" s="23">
        <v>0</v>
      </c>
      <c r="S110" s="56"/>
      <c r="T110" s="56"/>
      <c r="U110" s="59"/>
      <c r="V110" s="56"/>
      <c r="W110" s="23"/>
      <c r="X110" s="24"/>
      <c r="Y110" s="159"/>
      <c r="Z110" s="6"/>
      <c r="AA110" s="6"/>
      <c r="AB110" s="23"/>
      <c r="AC110" s="6"/>
      <c r="AD110" s="6"/>
      <c r="AE110" s="101">
        <f>C110+D110+I110+M110+P110+S110-E110-J110-N110-Q110-U110</f>
        <v>0</v>
      </c>
    </row>
    <row r="111" spans="1:31" ht="38.25" x14ac:dyDescent="0.2">
      <c r="A111" s="16" t="s">
        <v>192</v>
      </c>
      <c r="B111" s="23"/>
      <c r="C111" s="23"/>
      <c r="D111" s="23"/>
      <c r="E111" s="23"/>
      <c r="F111" s="23"/>
      <c r="G111" s="6"/>
      <c r="H111" s="6">
        <v>6200</v>
      </c>
      <c r="I111" s="59"/>
      <c r="J111" s="24"/>
      <c r="K111" s="23"/>
      <c r="L111" s="6">
        <v>0</v>
      </c>
      <c r="M111" s="59"/>
      <c r="N111" s="24"/>
      <c r="O111" s="23">
        <v>0</v>
      </c>
      <c r="P111" s="56"/>
      <c r="Q111" s="24"/>
      <c r="R111" s="23">
        <v>0</v>
      </c>
      <c r="S111" s="56"/>
      <c r="T111" s="56"/>
      <c r="U111" s="59"/>
      <c r="V111" s="56"/>
      <c r="W111" s="23"/>
      <c r="X111" s="24"/>
      <c r="Y111" s="159"/>
      <c r="Z111" s="6"/>
      <c r="AA111" s="6"/>
      <c r="AB111" s="23"/>
      <c r="AC111" s="6"/>
      <c r="AD111" s="6"/>
      <c r="AE111" s="101">
        <f>C111+D111+I111+M111+P111+S111-E111-J111-N111-Q111-U111</f>
        <v>0</v>
      </c>
    </row>
    <row r="112" spans="1:31" ht="38.25" x14ac:dyDescent="0.2">
      <c r="A112" s="16" t="s">
        <v>226</v>
      </c>
      <c r="B112" s="23"/>
      <c r="C112" s="23"/>
      <c r="D112" s="23"/>
      <c r="E112" s="23"/>
      <c r="F112" s="23"/>
      <c r="G112" s="6"/>
      <c r="H112" s="6"/>
      <c r="I112" s="59"/>
      <c r="J112" s="24"/>
      <c r="K112" s="23"/>
      <c r="L112" s="6">
        <v>11420</v>
      </c>
      <c r="M112" s="59"/>
      <c r="N112" s="24"/>
      <c r="O112" s="23"/>
      <c r="P112" s="56"/>
      <c r="Q112" s="24"/>
      <c r="R112" s="23"/>
      <c r="S112" s="56"/>
      <c r="T112" s="56"/>
      <c r="U112" s="59"/>
      <c r="V112" s="56"/>
      <c r="W112" s="23"/>
      <c r="X112" s="24"/>
      <c r="Y112" s="159"/>
      <c r="Z112" s="6"/>
      <c r="AA112" s="6"/>
      <c r="AB112" s="23"/>
      <c r="AC112" s="6"/>
      <c r="AD112" s="6"/>
      <c r="AE112" s="101"/>
    </row>
    <row r="113" spans="1:31" ht="25.5" x14ac:dyDescent="0.2">
      <c r="A113" s="16" t="s">
        <v>223</v>
      </c>
      <c r="B113" s="23"/>
      <c r="C113" s="23"/>
      <c r="D113" s="23"/>
      <c r="E113" s="23"/>
      <c r="F113" s="23"/>
      <c r="G113" s="6"/>
      <c r="H113" s="6">
        <v>9120</v>
      </c>
      <c r="I113" s="59"/>
      <c r="J113" s="24"/>
      <c r="K113" s="23"/>
      <c r="L113" s="6"/>
      <c r="M113" s="59"/>
      <c r="N113" s="24"/>
      <c r="O113" s="23"/>
      <c r="P113" s="56"/>
      <c r="Q113" s="24"/>
      <c r="R113" s="23"/>
      <c r="S113" s="56"/>
      <c r="T113" s="56"/>
      <c r="U113" s="59"/>
      <c r="V113" s="56"/>
      <c r="W113" s="23"/>
      <c r="X113" s="24"/>
      <c r="Y113" s="159"/>
      <c r="Z113" s="6"/>
      <c r="AA113" s="6"/>
      <c r="AB113" s="23"/>
      <c r="AC113" s="6"/>
      <c r="AD113" s="6"/>
      <c r="AE113" s="101"/>
    </row>
    <row r="114" spans="1:31" ht="25.5" x14ac:dyDescent="0.2">
      <c r="A114" s="16" t="s">
        <v>224</v>
      </c>
      <c r="B114" s="23"/>
      <c r="C114" s="23"/>
      <c r="D114" s="23"/>
      <c r="E114" s="23"/>
      <c r="F114" s="23"/>
      <c r="G114" s="6"/>
      <c r="H114" s="6">
        <v>1500</v>
      </c>
      <c r="I114" s="59"/>
      <c r="J114" s="24"/>
      <c r="K114" s="23"/>
      <c r="L114" s="6">
        <v>20000</v>
      </c>
      <c r="M114" s="59"/>
      <c r="N114" s="24"/>
      <c r="O114" s="23"/>
      <c r="P114" s="56"/>
      <c r="Q114" s="24"/>
      <c r="R114" s="23"/>
      <c r="S114" s="56"/>
      <c r="T114" s="56"/>
      <c r="U114" s="59"/>
      <c r="V114" s="56"/>
      <c r="W114" s="23"/>
      <c r="X114" s="24"/>
      <c r="Y114" s="159"/>
      <c r="Z114" s="6"/>
      <c r="AA114" s="6"/>
      <c r="AB114" s="23"/>
      <c r="AC114" s="6"/>
      <c r="AD114" s="6"/>
      <c r="AE114" s="101"/>
    </row>
    <row r="115" spans="1:31" ht="25.5" x14ac:dyDescent="0.2">
      <c r="A115" s="16" t="s">
        <v>227</v>
      </c>
      <c r="B115" s="23"/>
      <c r="C115" s="23"/>
      <c r="D115" s="23"/>
      <c r="E115" s="23"/>
      <c r="F115" s="23"/>
      <c r="G115" s="6"/>
      <c r="H115" s="6"/>
      <c r="I115" s="59"/>
      <c r="J115" s="24"/>
      <c r="K115" s="23"/>
      <c r="L115" s="6">
        <v>30000</v>
      </c>
      <c r="M115" s="59"/>
      <c r="N115" s="24"/>
      <c r="O115" s="23">
        <v>30500</v>
      </c>
      <c r="P115" s="56"/>
      <c r="Q115" s="24"/>
      <c r="R115" s="23"/>
      <c r="S115" s="56"/>
      <c r="T115" s="56"/>
      <c r="U115" s="59"/>
      <c r="V115" s="56"/>
      <c r="W115" s="23"/>
      <c r="X115" s="24"/>
      <c r="Y115" s="159"/>
      <c r="Z115" s="6"/>
      <c r="AA115" s="6"/>
      <c r="AB115" s="23"/>
      <c r="AC115" s="6"/>
      <c r="AD115" s="6"/>
      <c r="AE115" s="101"/>
    </row>
    <row r="116" spans="1:31" ht="25.5" x14ac:dyDescent="0.2">
      <c r="A116" s="16" t="s">
        <v>225</v>
      </c>
      <c r="B116" s="23"/>
      <c r="C116" s="23"/>
      <c r="D116" s="23"/>
      <c r="E116" s="23"/>
      <c r="F116" s="23"/>
      <c r="G116" s="6"/>
      <c r="H116" s="6">
        <v>23000</v>
      </c>
      <c r="I116" s="59"/>
      <c r="J116" s="24"/>
      <c r="K116" s="23"/>
      <c r="L116" s="6"/>
      <c r="M116" s="59"/>
      <c r="N116" s="24"/>
      <c r="O116" s="23"/>
      <c r="P116" s="56"/>
      <c r="Q116" s="24"/>
      <c r="R116" s="23"/>
      <c r="S116" s="56"/>
      <c r="T116" s="56"/>
      <c r="U116" s="59"/>
      <c r="V116" s="56"/>
      <c r="W116" s="23"/>
      <c r="X116" s="24"/>
      <c r="Y116" s="159"/>
      <c r="Z116" s="6"/>
      <c r="AA116" s="6"/>
      <c r="AB116" s="23"/>
      <c r="AC116" s="6"/>
      <c r="AD116" s="6"/>
      <c r="AE116" s="101"/>
    </row>
    <row r="117" spans="1:31" ht="25.5" x14ac:dyDescent="0.2">
      <c r="A117" s="16" t="s">
        <v>193</v>
      </c>
      <c r="B117" s="23"/>
      <c r="C117" s="23"/>
      <c r="D117" s="23"/>
      <c r="E117" s="23"/>
      <c r="F117" s="23"/>
      <c r="G117" s="6"/>
      <c r="H117" s="6">
        <v>11164.91</v>
      </c>
      <c r="I117" s="59"/>
      <c r="J117" s="24"/>
      <c r="K117" s="47"/>
      <c r="L117" s="6">
        <v>0</v>
      </c>
      <c r="M117" s="59"/>
      <c r="N117" s="24"/>
      <c r="O117" s="23">
        <v>100000</v>
      </c>
      <c r="P117" s="56"/>
      <c r="Q117" s="24"/>
      <c r="R117" s="23">
        <v>100000</v>
      </c>
      <c r="S117" s="56"/>
      <c r="T117" s="56"/>
      <c r="U117" s="59"/>
      <c r="V117" s="56"/>
      <c r="W117" s="23"/>
      <c r="X117" s="24"/>
      <c r="Y117" s="159"/>
      <c r="Z117" s="6"/>
      <c r="AA117" s="6"/>
      <c r="AB117" s="23"/>
      <c r="AC117" s="6"/>
      <c r="AD117" s="6"/>
      <c r="AE117" s="101">
        <f t="shared" ref="AE117:AE148" si="25">C117+D117+I117+M117+P117+S117-E117-J117-N117-Q117-U117</f>
        <v>0</v>
      </c>
    </row>
    <row r="118" spans="1:31" s="8" customFormat="1" x14ac:dyDescent="0.2">
      <c r="A118" s="17" t="s">
        <v>28</v>
      </c>
      <c r="B118" s="25">
        <f t="shared" ref="B118:R118" si="26">SUM(B68:B117)</f>
        <v>0</v>
      </c>
      <c r="C118" s="25">
        <f t="shared" si="26"/>
        <v>26405.047129999999</v>
      </c>
      <c r="D118" s="25">
        <f t="shared" si="26"/>
        <v>11784.489999999998</v>
      </c>
      <c r="E118" s="25">
        <f t="shared" si="26"/>
        <v>26992.61</v>
      </c>
      <c r="F118" s="25">
        <f t="shared" si="26"/>
        <v>162175.28</v>
      </c>
      <c r="G118" s="1">
        <f t="shared" si="26"/>
        <v>359.74</v>
      </c>
      <c r="H118" s="1">
        <f t="shared" si="26"/>
        <v>336143.91</v>
      </c>
      <c r="I118" s="60">
        <f t="shared" si="26"/>
        <v>37945.479999999996</v>
      </c>
      <c r="J118" s="63">
        <f t="shared" si="26"/>
        <v>14400.970000000001</v>
      </c>
      <c r="K118" s="25">
        <f t="shared" si="26"/>
        <v>0</v>
      </c>
      <c r="L118" s="1">
        <f t="shared" si="26"/>
        <v>291837</v>
      </c>
      <c r="M118" s="1">
        <f t="shared" si="26"/>
        <v>149195</v>
      </c>
      <c r="N118" s="1">
        <f t="shared" si="26"/>
        <v>17673</v>
      </c>
      <c r="O118" s="25">
        <f t="shared" si="26"/>
        <v>223500</v>
      </c>
      <c r="P118" s="15">
        <f t="shared" si="26"/>
        <v>124905</v>
      </c>
      <c r="Q118" s="26">
        <f t="shared" si="26"/>
        <v>198625</v>
      </c>
      <c r="R118" s="25">
        <f t="shared" si="26"/>
        <v>127610</v>
      </c>
      <c r="S118" s="15">
        <f>SUM(S68:S117)</f>
        <v>0</v>
      </c>
      <c r="T118" s="15">
        <f t="shared" ref="T118:X118" si="27">SUM(T68:T117)</f>
        <v>159040</v>
      </c>
      <c r="U118" s="15">
        <f t="shared" si="27"/>
        <v>91975</v>
      </c>
      <c r="V118" s="15">
        <f t="shared" si="27"/>
        <v>0</v>
      </c>
      <c r="W118" s="142">
        <f t="shared" si="27"/>
        <v>347655</v>
      </c>
      <c r="X118" s="169">
        <f t="shared" si="27"/>
        <v>159040</v>
      </c>
      <c r="Y118" s="15">
        <f t="shared" ref="Y118" si="28">SUM(Y68:Y117)</f>
        <v>0</v>
      </c>
      <c r="Z118" s="15">
        <f t="shared" ref="Z118" si="29">SUM(Z68:Z117)</f>
        <v>445500</v>
      </c>
      <c r="AA118" s="15">
        <f t="shared" ref="AA118" si="30">SUM(AA68:AA117)</f>
        <v>347655</v>
      </c>
      <c r="AB118" s="15">
        <f t="shared" ref="AB118" si="31">SUM(AB68:AB117)</f>
        <v>0</v>
      </c>
      <c r="AC118" s="15">
        <f t="shared" ref="AC118" si="32">SUM(AC68:AC117)</f>
        <v>0</v>
      </c>
      <c r="AD118" s="15">
        <f t="shared" ref="AD118" si="33">SUM(AD68:AD117)</f>
        <v>445500</v>
      </c>
      <c r="AE118" s="101">
        <f t="shared" si="25"/>
        <v>568.43712999997661</v>
      </c>
    </row>
    <row r="119" spans="1:31" s="37" customFormat="1" x14ac:dyDescent="0.2">
      <c r="A119" s="125" t="s">
        <v>91</v>
      </c>
      <c r="B119" s="43"/>
      <c r="C119" s="43"/>
      <c r="D119" s="43"/>
      <c r="E119" s="43"/>
      <c r="F119" s="43"/>
      <c r="G119" s="44"/>
      <c r="H119" s="45"/>
      <c r="I119" s="58"/>
      <c r="J119" s="46"/>
      <c r="K119" s="43"/>
      <c r="L119" s="45"/>
      <c r="M119" s="58"/>
      <c r="N119" s="46"/>
      <c r="O119" s="43"/>
      <c r="P119" s="55">
        <v>35000</v>
      </c>
      <c r="Q119" s="46">
        <v>0</v>
      </c>
      <c r="R119" s="23"/>
      <c r="S119" s="56"/>
      <c r="T119" s="56">
        <v>80500</v>
      </c>
      <c r="U119" s="59">
        <v>35000</v>
      </c>
      <c r="V119" s="56"/>
      <c r="W119" s="23"/>
      <c r="X119" s="24">
        <v>80500</v>
      </c>
      <c r="Y119" s="159"/>
      <c r="Z119" s="6"/>
      <c r="AA119" s="6"/>
      <c r="AB119" s="23"/>
      <c r="AC119" s="6"/>
      <c r="AD119" s="6"/>
      <c r="AE119" s="101">
        <f t="shared" si="25"/>
        <v>0</v>
      </c>
    </row>
    <row r="120" spans="1:31" s="8" customFormat="1" x14ac:dyDescent="0.2">
      <c r="A120" s="157" t="s">
        <v>212</v>
      </c>
      <c r="B120" s="43"/>
      <c r="C120" s="43"/>
      <c r="D120" s="43"/>
      <c r="E120" s="43"/>
      <c r="F120" s="43"/>
      <c r="G120" s="45"/>
      <c r="H120" s="45"/>
      <c r="I120" s="58"/>
      <c r="J120" s="46"/>
      <c r="K120" s="43"/>
      <c r="L120" s="45"/>
      <c r="M120" s="58"/>
      <c r="N120" s="58"/>
      <c r="O120" s="43"/>
      <c r="P120" s="55">
        <v>29500</v>
      </c>
      <c r="Q120" s="46"/>
      <c r="R120" s="43"/>
      <c r="S120" s="55"/>
      <c r="T120" s="55">
        <v>140000</v>
      </c>
      <c r="U120" s="58">
        <v>29500</v>
      </c>
      <c r="V120" s="55">
        <v>64550</v>
      </c>
      <c r="W120" s="43">
        <v>242000</v>
      </c>
      <c r="X120" s="46">
        <v>180750</v>
      </c>
      <c r="Y120" s="146"/>
      <c r="Z120" s="45">
        <v>81000</v>
      </c>
      <c r="AA120" s="45">
        <v>164750</v>
      </c>
      <c r="AB120" s="43"/>
      <c r="AC120" s="45"/>
      <c r="AD120" s="45">
        <v>52950</v>
      </c>
      <c r="AE120" s="101">
        <f t="shared" si="25"/>
        <v>0</v>
      </c>
    </row>
    <row r="121" spans="1:31" s="37" customFormat="1" ht="25.5" x14ac:dyDescent="0.2">
      <c r="A121" s="132" t="s">
        <v>144</v>
      </c>
      <c r="B121" s="43"/>
      <c r="C121" s="43"/>
      <c r="D121" s="43">
        <v>19688.03</v>
      </c>
      <c r="E121" s="43"/>
      <c r="F121" s="43"/>
      <c r="G121" s="45"/>
      <c r="H121" s="45"/>
      <c r="I121" s="58"/>
      <c r="J121" s="46">
        <v>19688.04</v>
      </c>
      <c r="K121" s="43"/>
      <c r="L121" s="45"/>
      <c r="M121" s="58"/>
      <c r="N121" s="46"/>
      <c r="O121" s="43"/>
      <c r="P121" s="55"/>
      <c r="Q121" s="46"/>
      <c r="R121" s="23"/>
      <c r="S121" s="56"/>
      <c r="T121" s="56"/>
      <c r="U121" s="59"/>
      <c r="V121" s="56"/>
      <c r="W121" s="23"/>
      <c r="X121" s="24"/>
      <c r="Y121" s="159"/>
      <c r="Z121" s="6"/>
      <c r="AA121" s="6"/>
      <c r="AB121" s="23"/>
      <c r="AC121" s="6"/>
      <c r="AD121" s="6"/>
      <c r="AE121" s="101">
        <f t="shared" si="25"/>
        <v>-1.0000000002037268E-2</v>
      </c>
    </row>
    <row r="122" spans="1:31" s="8" customFormat="1" x14ac:dyDescent="0.2">
      <c r="A122" s="178" t="s">
        <v>228</v>
      </c>
      <c r="B122" s="43"/>
      <c r="C122" s="43"/>
      <c r="D122" s="43"/>
      <c r="E122" s="43"/>
      <c r="F122" s="43"/>
      <c r="G122" s="45"/>
      <c r="H122" s="45"/>
      <c r="I122" s="58">
        <v>0</v>
      </c>
      <c r="J122" s="46"/>
      <c r="K122" s="43"/>
      <c r="L122" s="45"/>
      <c r="M122" s="58">
        <v>45900</v>
      </c>
      <c r="N122" s="58">
        <v>28000</v>
      </c>
      <c r="O122" s="43"/>
      <c r="P122" s="55">
        <v>2520</v>
      </c>
      <c r="Q122" s="46">
        <v>20420</v>
      </c>
      <c r="R122" s="43"/>
      <c r="S122" s="55"/>
      <c r="T122" s="55"/>
      <c r="U122" s="58"/>
      <c r="V122" s="55"/>
      <c r="W122" s="43"/>
      <c r="X122" s="46"/>
      <c r="Y122" s="146"/>
      <c r="Z122" s="45"/>
      <c r="AA122" s="45"/>
      <c r="AB122" s="43"/>
      <c r="AC122" s="45"/>
      <c r="AD122" s="45"/>
      <c r="AE122" s="101">
        <f t="shared" si="25"/>
        <v>0</v>
      </c>
    </row>
    <row r="123" spans="1:31" s="8" customFormat="1" x14ac:dyDescent="0.2">
      <c r="A123" s="178" t="s">
        <v>229</v>
      </c>
      <c r="B123" s="43"/>
      <c r="C123" s="43"/>
      <c r="D123" s="43"/>
      <c r="E123" s="43"/>
      <c r="F123" s="43"/>
      <c r="G123" s="45"/>
      <c r="H123" s="45"/>
      <c r="I123" s="58">
        <v>0</v>
      </c>
      <c r="J123" s="46"/>
      <c r="K123" s="43"/>
      <c r="L123" s="45"/>
      <c r="M123" s="58">
        <v>14989</v>
      </c>
      <c r="N123" s="58">
        <v>14989</v>
      </c>
      <c r="O123" s="43"/>
      <c r="P123" s="55"/>
      <c r="Q123" s="46"/>
      <c r="R123" s="43"/>
      <c r="S123" s="55"/>
      <c r="T123" s="55"/>
      <c r="U123" s="58"/>
      <c r="V123" s="55"/>
      <c r="W123" s="43"/>
      <c r="X123" s="46"/>
      <c r="Y123" s="146"/>
      <c r="Z123" s="45"/>
      <c r="AA123" s="45"/>
      <c r="AB123" s="43"/>
      <c r="AC123" s="45"/>
      <c r="AD123" s="45"/>
      <c r="AE123" s="101">
        <f t="shared" si="25"/>
        <v>0</v>
      </c>
    </row>
    <row r="124" spans="1:31" s="8" customFormat="1" x14ac:dyDescent="0.2">
      <c r="A124" s="178" t="s">
        <v>230</v>
      </c>
      <c r="B124" s="43"/>
      <c r="C124" s="43"/>
      <c r="D124" s="43"/>
      <c r="E124" s="43"/>
      <c r="F124" s="43"/>
      <c r="G124" s="45"/>
      <c r="H124" s="45"/>
      <c r="I124" s="58">
        <v>0</v>
      </c>
      <c r="J124" s="46"/>
      <c r="K124" s="43"/>
      <c r="L124" s="45"/>
      <c r="M124" s="58">
        <v>0</v>
      </c>
      <c r="N124" s="58"/>
      <c r="O124" s="43"/>
      <c r="P124" s="55">
        <v>23000</v>
      </c>
      <c r="Q124" s="46">
        <v>23000</v>
      </c>
      <c r="R124" s="43"/>
      <c r="S124" s="55"/>
      <c r="T124" s="55"/>
      <c r="U124" s="58"/>
      <c r="V124" s="55"/>
      <c r="W124" s="43"/>
      <c r="X124" s="46"/>
      <c r="Y124" s="146"/>
      <c r="Z124" s="45"/>
      <c r="AA124" s="45"/>
      <c r="AB124" s="43"/>
      <c r="AC124" s="45"/>
      <c r="AD124" s="45"/>
      <c r="AE124" s="101">
        <f t="shared" si="25"/>
        <v>0</v>
      </c>
    </row>
    <row r="125" spans="1:31" x14ac:dyDescent="0.2">
      <c r="A125" s="20" t="s">
        <v>19</v>
      </c>
      <c r="B125" s="23"/>
      <c r="C125" s="23"/>
      <c r="D125" s="23"/>
      <c r="E125" s="23"/>
      <c r="F125" s="23"/>
      <c r="G125" s="6"/>
      <c r="H125" s="7">
        <v>41000</v>
      </c>
      <c r="I125" s="62"/>
      <c r="J125" s="32"/>
      <c r="K125" s="23"/>
      <c r="L125" s="6"/>
      <c r="M125" s="59"/>
      <c r="N125" s="24"/>
      <c r="O125" s="23"/>
      <c r="P125" s="56"/>
      <c r="Q125" s="24"/>
      <c r="R125" s="23"/>
      <c r="S125" s="56"/>
      <c r="T125" s="56"/>
      <c r="U125" s="59"/>
      <c r="V125" s="56"/>
      <c r="W125" s="23"/>
      <c r="X125" s="24"/>
      <c r="Y125" s="159"/>
      <c r="Z125" s="6"/>
      <c r="AA125" s="6"/>
      <c r="AB125" s="23"/>
      <c r="AC125" s="6"/>
      <c r="AD125" s="6"/>
      <c r="AE125" s="101">
        <f t="shared" si="25"/>
        <v>0</v>
      </c>
    </row>
    <row r="126" spans="1:31" x14ac:dyDescent="0.2">
      <c r="A126" s="20" t="s">
        <v>20</v>
      </c>
      <c r="B126" s="23"/>
      <c r="C126" s="23"/>
      <c r="D126" s="23"/>
      <c r="E126" s="23"/>
      <c r="F126" s="23"/>
      <c r="G126" s="6"/>
      <c r="H126" s="6">
        <v>15000</v>
      </c>
      <c r="I126" s="59"/>
      <c r="J126" s="24"/>
      <c r="K126" s="47"/>
      <c r="L126" s="6">
        <v>119416</v>
      </c>
      <c r="M126" s="59"/>
      <c r="N126" s="24"/>
      <c r="O126" s="23">
        <v>50000</v>
      </c>
      <c r="P126" s="56"/>
      <c r="Q126" s="24"/>
      <c r="R126" s="23"/>
      <c r="S126" s="56"/>
      <c r="T126" s="56"/>
      <c r="U126" s="59"/>
      <c r="V126" s="56"/>
      <c r="W126" s="23"/>
      <c r="X126" s="24"/>
      <c r="Y126" s="159"/>
      <c r="Z126" s="6"/>
      <c r="AA126" s="6"/>
      <c r="AB126" s="23"/>
      <c r="AC126" s="6"/>
      <c r="AD126" s="6"/>
      <c r="AE126" s="101">
        <f t="shared" si="25"/>
        <v>0</v>
      </c>
    </row>
    <row r="127" spans="1:31" x14ac:dyDescent="0.2">
      <c r="A127" s="20" t="s">
        <v>21</v>
      </c>
      <c r="B127" s="23"/>
      <c r="C127" s="23"/>
      <c r="D127" s="23"/>
      <c r="E127" s="23"/>
      <c r="F127" s="23"/>
      <c r="G127" s="6"/>
      <c r="H127" s="6">
        <v>2000</v>
      </c>
      <c r="I127" s="59"/>
      <c r="J127" s="24"/>
      <c r="K127" s="47"/>
      <c r="L127" s="6">
        <v>22000</v>
      </c>
      <c r="M127" s="59"/>
      <c r="N127" s="24"/>
      <c r="O127" s="23"/>
      <c r="P127" s="56"/>
      <c r="Q127" s="24"/>
      <c r="R127" s="23"/>
      <c r="S127" s="56"/>
      <c r="T127" s="56"/>
      <c r="U127" s="59"/>
      <c r="V127" s="56"/>
      <c r="W127" s="23"/>
      <c r="X127" s="24"/>
      <c r="Y127" s="159"/>
      <c r="Z127" s="6"/>
      <c r="AA127" s="6"/>
      <c r="AB127" s="23"/>
      <c r="AC127" s="6"/>
      <c r="AD127" s="6"/>
      <c r="AE127" s="101">
        <f t="shared" si="25"/>
        <v>0</v>
      </c>
    </row>
    <row r="128" spans="1:31" x14ac:dyDescent="0.2">
      <c r="A128" s="20" t="s">
        <v>22</v>
      </c>
      <c r="B128" s="23"/>
      <c r="C128" s="23"/>
      <c r="D128" s="23"/>
      <c r="E128" s="23"/>
      <c r="F128" s="23"/>
      <c r="G128" s="6"/>
      <c r="H128" s="6">
        <f>1000+2500</f>
        <v>3500</v>
      </c>
      <c r="I128" s="59"/>
      <c r="J128" s="24"/>
      <c r="K128" s="23"/>
      <c r="L128" s="6">
        <f>32500-2500</f>
        <v>30000</v>
      </c>
      <c r="M128" s="59"/>
      <c r="N128" s="24"/>
      <c r="O128" s="23"/>
      <c r="P128" s="56"/>
      <c r="Q128" s="24"/>
      <c r="R128" s="23"/>
      <c r="S128" s="56"/>
      <c r="T128" s="56"/>
      <c r="U128" s="59"/>
      <c r="V128" s="56"/>
      <c r="W128" s="23"/>
      <c r="X128" s="24"/>
      <c r="Y128" s="159"/>
      <c r="Z128" s="6"/>
      <c r="AA128" s="6"/>
      <c r="AB128" s="23"/>
      <c r="AC128" s="6"/>
      <c r="AD128" s="6"/>
      <c r="AE128" s="101">
        <f t="shared" si="25"/>
        <v>0</v>
      </c>
    </row>
    <row r="129" spans="1:31" s="8" customFormat="1" x14ac:dyDescent="0.2">
      <c r="A129" s="17" t="s">
        <v>29</v>
      </c>
      <c r="B129" s="25">
        <f t="shared" ref="B129:S129" si="34">SUM(B119:B128)</f>
        <v>0</v>
      </c>
      <c r="C129" s="25">
        <f t="shared" si="34"/>
        <v>0</v>
      </c>
      <c r="D129" s="25">
        <f t="shared" si="34"/>
        <v>19688.03</v>
      </c>
      <c r="E129" s="25">
        <f t="shared" si="34"/>
        <v>0</v>
      </c>
      <c r="F129" s="25">
        <f t="shared" si="34"/>
        <v>0</v>
      </c>
      <c r="G129" s="1">
        <f t="shared" si="34"/>
        <v>0</v>
      </c>
      <c r="H129" s="1">
        <f t="shared" si="34"/>
        <v>61500</v>
      </c>
      <c r="I129" s="60">
        <f t="shared" si="34"/>
        <v>0</v>
      </c>
      <c r="J129" s="63">
        <f t="shared" si="34"/>
        <v>19688.04</v>
      </c>
      <c r="K129" s="25">
        <f t="shared" si="34"/>
        <v>0</v>
      </c>
      <c r="L129" s="1">
        <f t="shared" si="34"/>
        <v>171416</v>
      </c>
      <c r="M129" s="1">
        <f t="shared" si="34"/>
        <v>60889</v>
      </c>
      <c r="N129" s="26">
        <f t="shared" si="34"/>
        <v>42989</v>
      </c>
      <c r="O129" s="25">
        <f t="shared" si="34"/>
        <v>50000</v>
      </c>
      <c r="P129" s="15">
        <f t="shared" si="34"/>
        <v>90020</v>
      </c>
      <c r="Q129" s="26">
        <f t="shared" si="34"/>
        <v>43420</v>
      </c>
      <c r="R129" s="25">
        <f t="shared" si="34"/>
        <v>0</v>
      </c>
      <c r="S129" s="15">
        <f t="shared" si="34"/>
        <v>0</v>
      </c>
      <c r="T129" s="15">
        <f t="shared" ref="T129:X129" si="35">SUM(T119:T128)</f>
        <v>220500</v>
      </c>
      <c r="U129" s="15">
        <f t="shared" si="35"/>
        <v>64500</v>
      </c>
      <c r="V129" s="15">
        <f t="shared" si="35"/>
        <v>64550</v>
      </c>
      <c r="W129" s="142">
        <f t="shared" si="35"/>
        <v>242000</v>
      </c>
      <c r="X129" s="169">
        <f t="shared" si="35"/>
        <v>261250</v>
      </c>
      <c r="Y129" s="15">
        <f t="shared" ref="Y129" si="36">SUM(Y119:Y128)</f>
        <v>0</v>
      </c>
      <c r="Z129" s="15">
        <f t="shared" ref="Z129" si="37">SUM(Z119:Z128)</f>
        <v>81000</v>
      </c>
      <c r="AA129" s="15">
        <f t="shared" ref="AA129" si="38">SUM(AA119:AA128)</f>
        <v>164750</v>
      </c>
      <c r="AB129" s="15">
        <f t="shared" ref="AB129" si="39">SUM(AB119:AB128)</f>
        <v>0</v>
      </c>
      <c r="AC129" s="15">
        <f t="shared" ref="AC129" si="40">SUM(AC119:AC128)</f>
        <v>0</v>
      </c>
      <c r="AD129" s="15">
        <f t="shared" ref="AD129" si="41">SUM(AD119:AD128)</f>
        <v>52950</v>
      </c>
      <c r="AE129" s="101">
        <f t="shared" si="25"/>
        <v>-1.0000000009313226E-2</v>
      </c>
    </row>
    <row r="130" spans="1:31" s="37" customFormat="1" x14ac:dyDescent="0.2">
      <c r="A130" s="133" t="s">
        <v>109</v>
      </c>
      <c r="B130" s="43"/>
      <c r="C130" s="43"/>
      <c r="D130" s="43"/>
      <c r="E130" s="43"/>
      <c r="F130" s="43"/>
      <c r="G130" s="44"/>
      <c r="H130" s="45"/>
      <c r="I130" s="58"/>
      <c r="J130" s="46"/>
      <c r="K130" s="43"/>
      <c r="L130" s="45"/>
      <c r="M130" s="58"/>
      <c r="N130" s="46"/>
      <c r="O130" s="43"/>
      <c r="P130" s="55"/>
      <c r="Q130" s="46"/>
      <c r="R130" s="43"/>
      <c r="S130" s="55"/>
      <c r="T130" s="55"/>
      <c r="U130" s="58"/>
      <c r="V130" s="55"/>
      <c r="W130" s="43"/>
      <c r="X130" s="46"/>
      <c r="Y130" s="146"/>
      <c r="Z130" s="45"/>
      <c r="AA130" s="45"/>
      <c r="AB130" s="43"/>
      <c r="AC130" s="45"/>
      <c r="AD130" s="45"/>
      <c r="AE130" s="101">
        <f t="shared" si="25"/>
        <v>0</v>
      </c>
    </row>
    <row r="131" spans="1:31" s="37" customFormat="1" x14ac:dyDescent="0.2">
      <c r="A131" s="133" t="s">
        <v>110</v>
      </c>
      <c r="B131" s="43"/>
      <c r="C131" s="43"/>
      <c r="D131" s="43">
        <v>205.7</v>
      </c>
      <c r="E131" s="43"/>
      <c r="F131" s="43"/>
      <c r="G131" s="44"/>
      <c r="H131" s="45"/>
      <c r="I131" s="58">
        <f>13000+106.48</f>
        <v>13106.48</v>
      </c>
      <c r="J131" s="46">
        <v>5000</v>
      </c>
      <c r="K131" s="43"/>
      <c r="L131" s="45"/>
      <c r="M131" s="58">
        <v>30000</v>
      </c>
      <c r="N131" s="46">
        <v>30200</v>
      </c>
      <c r="O131" s="43"/>
      <c r="P131" s="55">
        <v>2276</v>
      </c>
      <c r="Q131" s="46">
        <v>10388</v>
      </c>
      <c r="R131" s="43"/>
      <c r="S131" s="55"/>
      <c r="T131" s="55"/>
      <c r="U131" s="58"/>
      <c r="V131" s="55"/>
      <c r="W131" s="43"/>
      <c r="X131" s="46"/>
      <c r="Y131" s="146"/>
      <c r="Z131" s="45"/>
      <c r="AA131" s="45"/>
      <c r="AB131" s="43"/>
      <c r="AC131" s="45"/>
      <c r="AD131" s="45"/>
      <c r="AE131" s="101">
        <f t="shared" si="25"/>
        <v>0.18000000000029104</v>
      </c>
    </row>
    <row r="132" spans="1:31" s="8" customFormat="1" x14ac:dyDescent="0.2">
      <c r="A132" s="17" t="s">
        <v>32</v>
      </c>
      <c r="B132" s="25">
        <f t="shared" ref="B132:R132" si="42">SUM(B130:B131)</f>
        <v>0</v>
      </c>
      <c r="C132" s="25">
        <f t="shared" si="42"/>
        <v>0</v>
      </c>
      <c r="D132" s="25">
        <f t="shared" si="42"/>
        <v>205.7</v>
      </c>
      <c r="E132" s="25">
        <f t="shared" si="42"/>
        <v>0</v>
      </c>
      <c r="F132" s="25">
        <f t="shared" si="42"/>
        <v>0</v>
      </c>
      <c r="G132" s="1">
        <f t="shared" si="42"/>
        <v>0</v>
      </c>
      <c r="H132" s="1">
        <f t="shared" si="42"/>
        <v>0</v>
      </c>
      <c r="I132" s="60">
        <f t="shared" si="42"/>
        <v>13106.48</v>
      </c>
      <c r="J132" s="63">
        <f t="shared" si="42"/>
        <v>5000</v>
      </c>
      <c r="K132" s="25">
        <f t="shared" si="42"/>
        <v>0</v>
      </c>
      <c r="L132" s="1">
        <f t="shared" si="42"/>
        <v>0</v>
      </c>
      <c r="M132" s="1">
        <f t="shared" si="42"/>
        <v>30000</v>
      </c>
      <c r="N132" s="26">
        <f t="shared" si="42"/>
        <v>30200</v>
      </c>
      <c r="O132" s="25">
        <f t="shared" si="42"/>
        <v>0</v>
      </c>
      <c r="P132" s="15">
        <f t="shared" si="42"/>
        <v>2276</v>
      </c>
      <c r="Q132" s="26">
        <f t="shared" si="42"/>
        <v>10388</v>
      </c>
      <c r="R132" s="25">
        <f t="shared" si="42"/>
        <v>0</v>
      </c>
      <c r="S132" s="15">
        <f>SUM(S130:S131)</f>
        <v>0</v>
      </c>
      <c r="T132" s="15">
        <f t="shared" ref="T132:X132" si="43">SUM(T130:T131)</f>
        <v>0</v>
      </c>
      <c r="U132" s="15">
        <f t="shared" si="43"/>
        <v>0</v>
      </c>
      <c r="V132" s="15">
        <f t="shared" si="43"/>
        <v>0</v>
      </c>
      <c r="W132" s="142">
        <f t="shared" si="43"/>
        <v>0</v>
      </c>
      <c r="X132" s="169">
        <f t="shared" si="43"/>
        <v>0</v>
      </c>
      <c r="Y132" s="15">
        <f t="shared" ref="Y132" si="44">SUM(Y130:Y131)</f>
        <v>0</v>
      </c>
      <c r="Z132" s="15">
        <f t="shared" ref="Z132" si="45">SUM(Z130:Z131)</f>
        <v>0</v>
      </c>
      <c r="AA132" s="15">
        <f t="shared" ref="AA132" si="46">SUM(AA130:AA131)</f>
        <v>0</v>
      </c>
      <c r="AB132" s="15">
        <f t="shared" ref="AB132" si="47">SUM(AB130:AB131)</f>
        <v>0</v>
      </c>
      <c r="AC132" s="15">
        <f t="shared" ref="AC132" si="48">SUM(AC130:AC131)</f>
        <v>0</v>
      </c>
      <c r="AD132" s="15">
        <f t="shared" ref="AD132" si="49">SUM(AD130:AD131)</f>
        <v>0</v>
      </c>
      <c r="AE132" s="101">
        <f t="shared" si="25"/>
        <v>0.18000000000029104</v>
      </c>
    </row>
    <row r="133" spans="1:31" s="37" customFormat="1" x14ac:dyDescent="0.2">
      <c r="A133" s="125" t="s">
        <v>98</v>
      </c>
      <c r="B133" s="43"/>
      <c r="C133" s="43"/>
      <c r="D133" s="43"/>
      <c r="E133" s="43"/>
      <c r="F133" s="43"/>
      <c r="G133" s="44"/>
      <c r="H133" s="45"/>
      <c r="I133" s="58"/>
      <c r="J133" s="46"/>
      <c r="K133" s="43"/>
      <c r="L133" s="45"/>
      <c r="M133" s="123">
        <v>25700</v>
      </c>
      <c r="N133" s="46">
        <v>0</v>
      </c>
      <c r="O133" s="43"/>
      <c r="P133" s="124">
        <v>40000</v>
      </c>
      <c r="Q133" s="121">
        <v>65700</v>
      </c>
      <c r="R133" s="43"/>
      <c r="S133" s="55"/>
      <c r="T133" s="55"/>
      <c r="U133" s="58"/>
      <c r="V133" s="55"/>
      <c r="W133" s="43"/>
      <c r="X133" s="46"/>
      <c r="Y133" s="146"/>
      <c r="Z133" s="45"/>
      <c r="AA133" s="45"/>
      <c r="AB133" s="43"/>
      <c r="AC133" s="45"/>
      <c r="AD133" s="45"/>
      <c r="AE133" s="101">
        <f t="shared" si="25"/>
        <v>0</v>
      </c>
    </row>
    <row r="134" spans="1:31" s="37" customFormat="1" ht="25.5" x14ac:dyDescent="0.2">
      <c r="A134" s="130" t="s">
        <v>99</v>
      </c>
      <c r="B134" s="43"/>
      <c r="C134" s="43"/>
      <c r="D134" s="43"/>
      <c r="E134" s="43"/>
      <c r="F134" s="43"/>
      <c r="G134" s="44"/>
      <c r="H134" s="45"/>
      <c r="I134" s="58"/>
      <c r="J134" s="46"/>
      <c r="K134" s="43"/>
      <c r="L134" s="45"/>
      <c r="M134" s="58">
        <v>0</v>
      </c>
      <c r="N134" s="46"/>
      <c r="O134" s="43"/>
      <c r="P134" s="55"/>
      <c r="Q134" s="46"/>
      <c r="R134" s="43"/>
      <c r="S134" s="55"/>
      <c r="T134" s="55"/>
      <c r="U134" s="58"/>
      <c r="V134" s="55"/>
      <c r="W134" s="43"/>
      <c r="X134" s="46"/>
      <c r="Y134" s="146"/>
      <c r="Z134" s="45"/>
      <c r="AA134" s="45"/>
      <c r="AB134" s="43"/>
      <c r="AC134" s="45"/>
      <c r="AD134" s="45"/>
      <c r="AE134" s="101">
        <f t="shared" si="25"/>
        <v>0</v>
      </c>
    </row>
    <row r="135" spans="1:31" s="37" customFormat="1" x14ac:dyDescent="0.2">
      <c r="A135" s="125" t="s">
        <v>100</v>
      </c>
      <c r="B135" s="43"/>
      <c r="C135" s="43"/>
      <c r="D135" s="43"/>
      <c r="E135" s="43"/>
      <c r="F135" s="43"/>
      <c r="G135" s="44"/>
      <c r="H135" s="45"/>
      <c r="I135" s="58"/>
      <c r="J135" s="46"/>
      <c r="K135" s="43"/>
      <c r="L135" s="45"/>
      <c r="M135" s="123">
        <v>41800</v>
      </c>
      <c r="N135" s="121">
        <v>20000</v>
      </c>
      <c r="O135" s="43"/>
      <c r="P135" s="124">
        <v>42500</v>
      </c>
      <c r="Q135" s="121">
        <v>64300</v>
      </c>
      <c r="R135" s="43"/>
      <c r="S135" s="55"/>
      <c r="T135" s="55"/>
      <c r="U135" s="58"/>
      <c r="V135" s="55"/>
      <c r="W135" s="43"/>
      <c r="X135" s="46"/>
      <c r="Y135" s="146"/>
      <c r="Z135" s="45"/>
      <c r="AA135" s="45"/>
      <c r="AB135" s="43"/>
      <c r="AC135" s="45"/>
      <c r="AD135" s="45"/>
      <c r="AE135" s="101">
        <f t="shared" si="25"/>
        <v>0</v>
      </c>
    </row>
    <row r="136" spans="1:31" s="37" customFormat="1" x14ac:dyDescent="0.2">
      <c r="A136" s="125" t="s">
        <v>210</v>
      </c>
      <c r="B136" s="43"/>
      <c r="C136" s="43"/>
      <c r="D136" s="43"/>
      <c r="E136" s="43"/>
      <c r="F136" s="43"/>
      <c r="G136" s="44"/>
      <c r="H136" s="45"/>
      <c r="I136" s="58"/>
      <c r="J136" s="46"/>
      <c r="K136" s="43"/>
      <c r="L136" s="45"/>
      <c r="M136" s="123"/>
      <c r="N136" s="121"/>
      <c r="O136" s="43"/>
      <c r="P136" s="124">
        <v>27000</v>
      </c>
      <c r="Q136" s="121"/>
      <c r="R136" s="43"/>
      <c r="S136" s="55"/>
      <c r="T136" s="55"/>
      <c r="U136" s="58">
        <v>27000</v>
      </c>
      <c r="V136" s="55"/>
      <c r="W136" s="43"/>
      <c r="X136" s="46"/>
      <c r="Y136" s="146"/>
      <c r="Z136" s="45"/>
      <c r="AA136" s="45"/>
      <c r="AB136" s="43"/>
      <c r="AC136" s="45"/>
      <c r="AD136" s="45"/>
      <c r="AE136" s="101">
        <f t="shared" si="25"/>
        <v>0</v>
      </c>
    </row>
    <row r="137" spans="1:31" x14ac:dyDescent="0.2">
      <c r="A137" s="125" t="s">
        <v>92</v>
      </c>
      <c r="B137" s="23"/>
      <c r="C137" s="23"/>
      <c r="D137" s="23"/>
      <c r="E137" s="23"/>
      <c r="F137" s="23"/>
      <c r="G137" s="6"/>
      <c r="H137" s="6"/>
      <c r="I137" s="59"/>
      <c r="J137" s="24"/>
      <c r="K137" s="23"/>
      <c r="L137" s="6"/>
      <c r="M137" s="59"/>
      <c r="N137" s="24"/>
      <c r="O137" s="23"/>
      <c r="P137" s="127">
        <v>55000</v>
      </c>
      <c r="Q137" s="126"/>
      <c r="R137" s="23"/>
      <c r="S137" s="56"/>
      <c r="T137" s="56">
        <v>97500</v>
      </c>
      <c r="U137" s="59">
        <v>55000</v>
      </c>
      <c r="V137" s="56"/>
      <c r="W137" s="23"/>
      <c r="X137" s="24">
        <v>97500</v>
      </c>
      <c r="Y137" s="159"/>
      <c r="Z137" s="6"/>
      <c r="AA137" s="6"/>
      <c r="AB137" s="23"/>
      <c r="AC137" s="6"/>
      <c r="AD137" s="6"/>
      <c r="AE137" s="101">
        <f t="shared" si="25"/>
        <v>0</v>
      </c>
    </row>
    <row r="138" spans="1:31" s="8" customFormat="1" x14ac:dyDescent="0.2">
      <c r="A138" s="17" t="s">
        <v>93</v>
      </c>
      <c r="B138" s="25">
        <f t="shared" ref="B138:R138" si="50">SUM(B133:B137)</f>
        <v>0</v>
      </c>
      <c r="C138" s="25">
        <f t="shared" si="50"/>
        <v>0</v>
      </c>
      <c r="D138" s="25">
        <f t="shared" si="50"/>
        <v>0</v>
      </c>
      <c r="E138" s="25">
        <f t="shared" si="50"/>
        <v>0</v>
      </c>
      <c r="F138" s="25">
        <f t="shared" si="50"/>
        <v>0</v>
      </c>
      <c r="G138" s="1">
        <f t="shared" si="50"/>
        <v>0</v>
      </c>
      <c r="H138" s="1">
        <f t="shared" si="50"/>
        <v>0</v>
      </c>
      <c r="I138" s="60">
        <f t="shared" si="50"/>
        <v>0</v>
      </c>
      <c r="J138" s="63">
        <f t="shared" si="50"/>
        <v>0</v>
      </c>
      <c r="K138" s="25">
        <f t="shared" si="50"/>
        <v>0</v>
      </c>
      <c r="L138" s="1">
        <f t="shared" si="50"/>
        <v>0</v>
      </c>
      <c r="M138" s="1">
        <f t="shared" si="50"/>
        <v>67500</v>
      </c>
      <c r="N138" s="26">
        <f t="shared" si="50"/>
        <v>20000</v>
      </c>
      <c r="O138" s="25">
        <f t="shared" si="50"/>
        <v>0</v>
      </c>
      <c r="P138" s="15">
        <f t="shared" si="50"/>
        <v>164500</v>
      </c>
      <c r="Q138" s="26">
        <f t="shared" si="50"/>
        <v>130000</v>
      </c>
      <c r="R138" s="25">
        <f t="shared" si="50"/>
        <v>0</v>
      </c>
      <c r="S138" s="15">
        <f>SUM(S133:S137)</f>
        <v>0</v>
      </c>
      <c r="T138" s="15">
        <f t="shared" ref="T138:X138" si="51">SUM(T133:T137)</f>
        <v>97500</v>
      </c>
      <c r="U138" s="15">
        <f t="shared" si="51"/>
        <v>82000</v>
      </c>
      <c r="V138" s="15">
        <f t="shared" si="51"/>
        <v>0</v>
      </c>
      <c r="W138" s="142">
        <f t="shared" si="51"/>
        <v>0</v>
      </c>
      <c r="X138" s="169">
        <f t="shared" si="51"/>
        <v>97500</v>
      </c>
      <c r="Y138" s="15">
        <f t="shared" ref="Y138" si="52">SUM(Y133:Y137)</f>
        <v>0</v>
      </c>
      <c r="Z138" s="15">
        <f t="shared" ref="Z138" si="53">SUM(Z133:Z137)</f>
        <v>0</v>
      </c>
      <c r="AA138" s="15">
        <f t="shared" ref="AA138" si="54">SUM(AA133:AA137)</f>
        <v>0</v>
      </c>
      <c r="AB138" s="15">
        <f t="shared" ref="AB138" si="55">SUM(AB133:AB137)</f>
        <v>0</v>
      </c>
      <c r="AC138" s="15">
        <f t="shared" ref="AC138" si="56">SUM(AC133:AC137)</f>
        <v>0</v>
      </c>
      <c r="AD138" s="15">
        <f t="shared" ref="AD138" si="57">SUM(AD133:AD137)</f>
        <v>0</v>
      </c>
      <c r="AE138" s="101">
        <f t="shared" si="25"/>
        <v>0</v>
      </c>
    </row>
    <row r="139" spans="1:31" s="37" customFormat="1" x14ac:dyDescent="0.2">
      <c r="A139" s="133" t="s">
        <v>111</v>
      </c>
      <c r="B139" s="43"/>
      <c r="C139" s="43"/>
      <c r="D139" s="43"/>
      <c r="E139" s="43"/>
      <c r="F139" s="43"/>
      <c r="G139" s="44"/>
      <c r="H139" s="45"/>
      <c r="I139" s="58"/>
      <c r="J139" s="46"/>
      <c r="K139" s="43"/>
      <c r="L139" s="45">
        <v>7543</v>
      </c>
      <c r="M139" s="58">
        <v>42000</v>
      </c>
      <c r="N139" s="46"/>
      <c r="O139" s="43">
        <v>28670</v>
      </c>
      <c r="P139" s="55">
        <v>156000</v>
      </c>
      <c r="Q139" s="46">
        <v>198000</v>
      </c>
      <c r="R139" s="43"/>
      <c r="S139" s="55"/>
      <c r="T139" s="55"/>
      <c r="U139" s="58"/>
      <c r="V139" s="55"/>
      <c r="W139" s="43"/>
      <c r="X139" s="46"/>
      <c r="Y139" s="146"/>
      <c r="Z139" s="45"/>
      <c r="AA139" s="45"/>
      <c r="AB139" s="43"/>
      <c r="AC139" s="45"/>
      <c r="AD139" s="45"/>
      <c r="AE139" s="101">
        <f t="shared" si="25"/>
        <v>0</v>
      </c>
    </row>
    <row r="140" spans="1:31" s="8" customFormat="1" x14ac:dyDescent="0.2">
      <c r="A140" s="17" t="s">
        <v>112</v>
      </c>
      <c r="B140" s="1">
        <f t="shared" ref="B140:R140" si="58">SUBTOTAL(9,B139)</f>
        <v>0</v>
      </c>
      <c r="C140" s="1">
        <f t="shared" si="58"/>
        <v>0</v>
      </c>
      <c r="D140" s="1">
        <f t="shared" si="58"/>
        <v>0</v>
      </c>
      <c r="E140" s="1">
        <f t="shared" si="58"/>
        <v>0</v>
      </c>
      <c r="F140" s="1">
        <f t="shared" si="58"/>
        <v>0</v>
      </c>
      <c r="G140" s="1">
        <f t="shared" si="58"/>
        <v>0</v>
      </c>
      <c r="H140" s="1">
        <f t="shared" si="58"/>
        <v>0</v>
      </c>
      <c r="I140" s="60">
        <f t="shared" si="58"/>
        <v>0</v>
      </c>
      <c r="J140" s="63">
        <f t="shared" si="58"/>
        <v>0</v>
      </c>
      <c r="K140" s="25">
        <f t="shared" si="58"/>
        <v>0</v>
      </c>
      <c r="L140" s="1">
        <f t="shared" si="58"/>
        <v>7543</v>
      </c>
      <c r="M140" s="1">
        <f t="shared" si="58"/>
        <v>42000</v>
      </c>
      <c r="N140" s="26">
        <f t="shared" si="58"/>
        <v>0</v>
      </c>
      <c r="O140" s="25">
        <f t="shared" si="58"/>
        <v>28670</v>
      </c>
      <c r="P140" s="15">
        <f>SUM(P139)</f>
        <v>156000</v>
      </c>
      <c r="Q140" s="26">
        <f t="shared" si="58"/>
        <v>198000</v>
      </c>
      <c r="R140" s="25">
        <f t="shared" si="58"/>
        <v>0</v>
      </c>
      <c r="S140" s="15">
        <f>SUM(S139)</f>
        <v>0</v>
      </c>
      <c r="T140" s="15">
        <f t="shared" ref="T140:X140" si="59">SUM(T139)</f>
        <v>0</v>
      </c>
      <c r="U140" s="15">
        <f t="shared" si="59"/>
        <v>0</v>
      </c>
      <c r="V140" s="15">
        <f t="shared" si="59"/>
        <v>0</v>
      </c>
      <c r="W140" s="142">
        <f t="shared" si="59"/>
        <v>0</v>
      </c>
      <c r="X140" s="169">
        <f t="shared" si="59"/>
        <v>0</v>
      </c>
      <c r="Y140" s="15">
        <f t="shared" ref="Y140" si="60">SUM(Y139)</f>
        <v>0</v>
      </c>
      <c r="Z140" s="15">
        <f t="shared" ref="Z140" si="61">SUM(Z139)</f>
        <v>0</v>
      </c>
      <c r="AA140" s="15">
        <f t="shared" ref="AA140" si="62">SUM(AA139)</f>
        <v>0</v>
      </c>
      <c r="AB140" s="15">
        <f t="shared" ref="AB140" si="63">SUM(AB139)</f>
        <v>0</v>
      </c>
      <c r="AC140" s="15">
        <f t="shared" ref="AC140" si="64">SUM(AC139)</f>
        <v>0</v>
      </c>
      <c r="AD140" s="15">
        <f t="shared" ref="AD140" si="65">SUM(AD139)</f>
        <v>0</v>
      </c>
      <c r="AE140" s="101">
        <f t="shared" si="25"/>
        <v>0</v>
      </c>
    </row>
    <row r="141" spans="1:31" s="8" customFormat="1" ht="18.75" customHeight="1" x14ac:dyDescent="0.2">
      <c r="A141" s="73"/>
      <c r="B141" s="74">
        <f t="shared" ref="B141:S141" si="66">B140+B138+B132+B129+B118+B67+B53+B37</f>
        <v>0</v>
      </c>
      <c r="C141" s="74">
        <f t="shared" si="66"/>
        <v>459878.44561000005</v>
      </c>
      <c r="D141" s="74">
        <f t="shared" si="66"/>
        <v>312288.5</v>
      </c>
      <c r="E141" s="74">
        <f t="shared" si="66"/>
        <v>331976.3</v>
      </c>
      <c r="F141" s="74">
        <f t="shared" si="66"/>
        <v>199479.2</v>
      </c>
      <c r="G141" s="74">
        <f t="shared" si="66"/>
        <v>1028.5999999999999</v>
      </c>
      <c r="H141" s="74">
        <f t="shared" si="66"/>
        <v>590985.6399999999</v>
      </c>
      <c r="I141" s="74">
        <f t="shared" si="66"/>
        <v>410992.55000000005</v>
      </c>
      <c r="J141" s="74">
        <f t="shared" si="66"/>
        <v>474470.35000000009</v>
      </c>
      <c r="K141" s="74">
        <f t="shared" si="66"/>
        <v>0</v>
      </c>
      <c r="L141" s="74">
        <f t="shared" si="66"/>
        <v>1057332</v>
      </c>
      <c r="M141" s="74">
        <f t="shared" si="66"/>
        <v>1069473.58</v>
      </c>
      <c r="N141" s="74">
        <f t="shared" si="66"/>
        <v>487426</v>
      </c>
      <c r="O141" s="74">
        <f t="shared" si="66"/>
        <v>990352</v>
      </c>
      <c r="P141" s="74">
        <f t="shared" si="66"/>
        <v>1288948</v>
      </c>
      <c r="Q141" s="74">
        <f t="shared" si="66"/>
        <v>1318569</v>
      </c>
      <c r="R141" s="74">
        <f t="shared" si="66"/>
        <v>196320</v>
      </c>
      <c r="S141" s="74">
        <f t="shared" si="66"/>
        <v>0</v>
      </c>
      <c r="T141" s="74">
        <f t="shared" ref="T141:X141" si="67">T140+T138+T132+T129+T118+T67+T53+T37</f>
        <v>1664315</v>
      </c>
      <c r="U141" s="74">
        <f t="shared" si="67"/>
        <v>923800</v>
      </c>
      <c r="V141" s="143">
        <f t="shared" si="67"/>
        <v>245400</v>
      </c>
      <c r="W141" s="171">
        <f t="shared" si="67"/>
        <v>1809180</v>
      </c>
      <c r="X141" s="172">
        <f t="shared" si="67"/>
        <v>1871065</v>
      </c>
      <c r="Y141" s="163">
        <f t="shared" ref="Y141" si="68">Y140+Y138+Y132+Y129+Y118+Y67+Y53+Y37</f>
        <v>0</v>
      </c>
      <c r="Z141" s="74">
        <f t="shared" ref="Z141" si="69">Z140+Z138+Z132+Z129+Z118+Z67+Z53+Z37</f>
        <v>1147600</v>
      </c>
      <c r="AA141" s="74">
        <f t="shared" ref="AA141" si="70">AA140+AA138+AA132+AA129+AA118+AA67+AA53+AA37</f>
        <v>1493380</v>
      </c>
      <c r="AB141" s="74">
        <f t="shared" ref="AB141" si="71">AB140+AB138+AB132+AB129+AB118+AB67+AB53+AB37</f>
        <v>0</v>
      </c>
      <c r="AC141" s="74">
        <f t="shared" ref="AC141" si="72">AC140+AC138+AC132+AC129+AC118+AC67+AC53+AC37</f>
        <v>0</v>
      </c>
      <c r="AD141" s="74">
        <f t="shared" ref="AD141" si="73">AD140+AD138+AD132+AD129+AD118+AD67+AD53+AD37</f>
        <v>1011250</v>
      </c>
      <c r="AE141" s="101">
        <f t="shared" si="25"/>
        <v>5339.4256100002676</v>
      </c>
    </row>
    <row r="142" spans="1:31" s="8" customFormat="1" x14ac:dyDescent="0.2">
      <c r="A142" s="2"/>
      <c r="B142" s="29"/>
      <c r="C142" s="29"/>
      <c r="D142" s="29"/>
      <c r="E142" s="29"/>
      <c r="F142" s="29"/>
      <c r="G142" s="3"/>
      <c r="H142" s="3"/>
      <c r="I142" s="3"/>
      <c r="J142" s="64"/>
      <c r="K142" s="29"/>
      <c r="L142" s="3"/>
      <c r="M142" s="3"/>
      <c r="N142" s="30"/>
      <c r="O142" s="29"/>
      <c r="P142" s="3"/>
      <c r="Q142" s="30"/>
      <c r="R142" s="29"/>
      <c r="S142" s="3"/>
      <c r="T142" s="3"/>
      <c r="U142" s="3"/>
      <c r="V142" s="3"/>
      <c r="W142" s="153"/>
      <c r="X142" s="154"/>
      <c r="Y142" s="164"/>
      <c r="Z142" s="144"/>
      <c r="AA142" s="144"/>
      <c r="AB142" s="153"/>
      <c r="AC142" s="144"/>
      <c r="AD142" s="144"/>
      <c r="AE142" s="101">
        <f t="shared" si="25"/>
        <v>0</v>
      </c>
    </row>
    <row r="143" spans="1:31" s="8" customFormat="1" ht="38.25" x14ac:dyDescent="0.2">
      <c r="A143" s="51" t="s">
        <v>137</v>
      </c>
      <c r="B143" s="66"/>
      <c r="C143" s="66"/>
      <c r="D143" s="66"/>
      <c r="E143" s="66"/>
      <c r="F143" s="66"/>
      <c r="G143" s="67"/>
      <c r="H143" s="67"/>
      <c r="I143" s="68"/>
      <c r="J143" s="69"/>
      <c r="K143" s="66"/>
      <c r="L143" s="67"/>
      <c r="M143" s="68"/>
      <c r="N143" s="69"/>
      <c r="O143" s="66"/>
      <c r="P143" s="70"/>
      <c r="Q143" s="69"/>
      <c r="R143" s="66"/>
      <c r="S143" s="70"/>
      <c r="T143" s="70"/>
      <c r="U143" s="68"/>
      <c r="V143" s="70"/>
      <c r="W143" s="66"/>
      <c r="X143" s="69"/>
      <c r="Y143" s="165"/>
      <c r="Z143" s="67"/>
      <c r="AA143" s="67"/>
      <c r="AB143" s="66"/>
      <c r="AC143" s="67"/>
      <c r="AD143" s="67"/>
      <c r="AE143" s="101">
        <f t="shared" si="25"/>
        <v>0</v>
      </c>
    </row>
    <row r="144" spans="1:31" s="8" customFormat="1" ht="38.25" x14ac:dyDescent="0.2">
      <c r="A144" s="52" t="s">
        <v>117</v>
      </c>
      <c r="B144" s="43"/>
      <c r="C144" s="43"/>
      <c r="D144" s="43">
        <v>4200.32</v>
      </c>
      <c r="E144" s="43">
        <v>0</v>
      </c>
      <c r="F144" s="43"/>
      <c r="G144" s="44"/>
      <c r="H144" s="45"/>
      <c r="I144" s="58"/>
      <c r="J144" s="46">
        <v>5354.55</v>
      </c>
      <c r="K144" s="43"/>
      <c r="L144" s="45"/>
      <c r="M144" s="58"/>
      <c r="N144" s="46"/>
      <c r="O144" s="43"/>
      <c r="P144" s="55"/>
      <c r="Q144" s="46"/>
      <c r="R144" s="43"/>
      <c r="S144" s="55"/>
      <c r="T144" s="55"/>
      <c r="U144" s="58"/>
      <c r="V144" s="55"/>
      <c r="W144" s="43"/>
      <c r="X144" s="46"/>
      <c r="Y144" s="146"/>
      <c r="Z144" s="45"/>
      <c r="AA144" s="45"/>
      <c r="AB144" s="43"/>
      <c r="AC144" s="45"/>
      <c r="AD144" s="45"/>
      <c r="AE144" s="101">
        <f t="shared" si="25"/>
        <v>-1154.2300000000005</v>
      </c>
    </row>
    <row r="145" spans="1:31" s="8" customFormat="1" ht="25.5" x14ac:dyDescent="0.2">
      <c r="A145" s="52" t="s">
        <v>118</v>
      </c>
      <c r="B145" s="43"/>
      <c r="C145" s="43"/>
      <c r="D145" s="43">
        <v>12485.01</v>
      </c>
      <c r="E145" s="43"/>
      <c r="F145" s="43"/>
      <c r="G145" s="44"/>
      <c r="H145" s="45"/>
      <c r="I145" s="58">
        <v>1198.5</v>
      </c>
      <c r="J145" s="46">
        <v>13683.76</v>
      </c>
      <c r="K145" s="43"/>
      <c r="L145" s="45"/>
      <c r="M145" s="58"/>
      <c r="N145" s="46"/>
      <c r="O145" s="43"/>
      <c r="P145" s="55"/>
      <c r="Q145" s="46"/>
      <c r="R145" s="43"/>
      <c r="S145" s="55"/>
      <c r="T145" s="55"/>
      <c r="U145" s="58"/>
      <c r="V145" s="55"/>
      <c r="W145" s="43"/>
      <c r="X145" s="46"/>
      <c r="Y145" s="146"/>
      <c r="Z145" s="45"/>
      <c r="AA145" s="45"/>
      <c r="AB145" s="43"/>
      <c r="AC145" s="45"/>
      <c r="AD145" s="45"/>
      <c r="AE145" s="101">
        <f t="shared" si="25"/>
        <v>-0.25</v>
      </c>
    </row>
    <row r="146" spans="1:31" s="8" customFormat="1" ht="25.5" x14ac:dyDescent="0.2">
      <c r="A146" s="52" t="s">
        <v>119</v>
      </c>
      <c r="B146" s="43"/>
      <c r="C146" s="43"/>
      <c r="D146" s="43">
        <v>731.76</v>
      </c>
      <c r="E146" s="43"/>
      <c r="F146" s="43"/>
      <c r="G146" s="44"/>
      <c r="H146" s="45"/>
      <c r="I146" s="58">
        <v>11.66</v>
      </c>
      <c r="J146" s="46"/>
      <c r="K146" s="43"/>
      <c r="L146" s="45"/>
      <c r="M146" s="58"/>
      <c r="N146" s="46">
        <v>743.42</v>
      </c>
      <c r="O146" s="43"/>
      <c r="P146" s="55"/>
      <c r="Q146" s="46"/>
      <c r="R146" s="43"/>
      <c r="S146" s="55"/>
      <c r="T146" s="55"/>
      <c r="U146" s="58"/>
      <c r="V146" s="55"/>
      <c r="W146" s="43"/>
      <c r="X146" s="46"/>
      <c r="Y146" s="146"/>
      <c r="Z146" s="45"/>
      <c r="AA146" s="45"/>
      <c r="AB146" s="43"/>
      <c r="AC146" s="45"/>
      <c r="AD146" s="45"/>
      <c r="AE146" s="101">
        <f t="shared" si="25"/>
        <v>0</v>
      </c>
    </row>
    <row r="147" spans="1:31" s="8" customFormat="1" ht="25.5" x14ac:dyDescent="0.2">
      <c r="A147" s="53" t="s">
        <v>120</v>
      </c>
      <c r="B147" s="43"/>
      <c r="C147" s="43"/>
      <c r="D147" s="43">
        <v>40663.625010000003</v>
      </c>
      <c r="E147" s="43"/>
      <c r="F147" s="43"/>
      <c r="G147" s="44"/>
      <c r="H147" s="45"/>
      <c r="I147" s="58">
        <v>5605.38</v>
      </c>
      <c r="J147" s="46">
        <v>46269</v>
      </c>
      <c r="K147" s="43"/>
      <c r="L147" s="45"/>
      <c r="M147" s="58"/>
      <c r="N147" s="46"/>
      <c r="O147" s="43"/>
      <c r="P147" s="55"/>
      <c r="Q147" s="46"/>
      <c r="R147" s="43"/>
      <c r="S147" s="55"/>
      <c r="T147" s="55"/>
      <c r="U147" s="58"/>
      <c r="V147" s="55"/>
      <c r="W147" s="43"/>
      <c r="X147" s="46"/>
      <c r="Y147" s="146"/>
      <c r="Z147" s="45"/>
      <c r="AA147" s="45"/>
      <c r="AB147" s="43"/>
      <c r="AC147" s="45"/>
      <c r="AD147" s="45"/>
      <c r="AE147" s="101">
        <f t="shared" si="25"/>
        <v>5.0100000007660128E-3</v>
      </c>
    </row>
    <row r="148" spans="1:31" s="8" customFormat="1" ht="25.5" x14ac:dyDescent="0.2">
      <c r="A148" s="53" t="s">
        <v>121</v>
      </c>
      <c r="B148" s="43"/>
      <c r="C148" s="43"/>
      <c r="D148" s="43">
        <v>0</v>
      </c>
      <c r="E148" s="43"/>
      <c r="F148" s="43"/>
      <c r="G148" s="44"/>
      <c r="H148" s="45"/>
      <c r="I148" s="58">
        <f>29294+22500</f>
        <v>51794</v>
      </c>
      <c r="J148" s="46"/>
      <c r="K148" s="43"/>
      <c r="L148" s="45"/>
      <c r="M148" s="58"/>
      <c r="N148" s="46">
        <v>51794</v>
      </c>
      <c r="O148" s="43"/>
      <c r="P148" s="55"/>
      <c r="Q148" s="46"/>
      <c r="R148" s="43"/>
      <c r="S148" s="55"/>
      <c r="T148" s="55"/>
      <c r="U148" s="58"/>
      <c r="V148" s="55"/>
      <c r="W148" s="43"/>
      <c r="X148" s="46"/>
      <c r="Y148" s="146"/>
      <c r="Z148" s="45"/>
      <c r="AA148" s="45"/>
      <c r="AB148" s="43"/>
      <c r="AC148" s="45"/>
      <c r="AD148" s="45"/>
      <c r="AE148" s="101">
        <f t="shared" si="25"/>
        <v>0</v>
      </c>
    </row>
    <row r="149" spans="1:31" s="8" customFormat="1" ht="25.5" x14ac:dyDescent="0.2">
      <c r="A149" s="53" t="s">
        <v>122</v>
      </c>
      <c r="B149" s="43"/>
      <c r="C149" s="43"/>
      <c r="D149" s="43"/>
      <c r="E149" s="43"/>
      <c r="F149" s="43"/>
      <c r="G149" s="44"/>
      <c r="H149" s="45"/>
      <c r="I149" s="58"/>
      <c r="J149" s="46"/>
      <c r="K149" s="43"/>
      <c r="L149" s="45"/>
      <c r="M149" s="58"/>
      <c r="N149" s="46"/>
      <c r="O149" s="43"/>
      <c r="P149" s="55"/>
      <c r="Q149" s="46"/>
      <c r="R149" s="43"/>
      <c r="S149" s="55"/>
      <c r="T149" s="55"/>
      <c r="U149" s="58"/>
      <c r="V149" s="55"/>
      <c r="W149" s="43"/>
      <c r="X149" s="46"/>
      <c r="Y149" s="146"/>
      <c r="Z149" s="45"/>
      <c r="AA149" s="45"/>
      <c r="AB149" s="43"/>
      <c r="AC149" s="45"/>
      <c r="AD149" s="45"/>
      <c r="AE149" s="101">
        <f t="shared" ref="AE149:AE170" si="74">C149+D149+I149+M149+P149+S149-E149-J149-N149-Q149-U149</f>
        <v>0</v>
      </c>
    </row>
    <row r="150" spans="1:31" s="8" customFormat="1" ht="25.5" x14ac:dyDescent="0.2">
      <c r="A150" s="53" t="s">
        <v>123</v>
      </c>
      <c r="B150" s="43"/>
      <c r="C150" s="43"/>
      <c r="D150" s="43"/>
      <c r="E150" s="43"/>
      <c r="F150" s="43"/>
      <c r="G150" s="44"/>
      <c r="H150" s="45"/>
      <c r="I150" s="58"/>
      <c r="J150" s="46"/>
      <c r="K150" s="43"/>
      <c r="L150" s="45"/>
      <c r="M150" s="58"/>
      <c r="N150" s="46"/>
      <c r="O150" s="43"/>
      <c r="P150" s="55"/>
      <c r="Q150" s="46"/>
      <c r="R150" s="43"/>
      <c r="S150" s="55"/>
      <c r="T150" s="55"/>
      <c r="U150" s="58"/>
      <c r="V150" s="55"/>
      <c r="W150" s="43"/>
      <c r="X150" s="46"/>
      <c r="Y150" s="146"/>
      <c r="Z150" s="45"/>
      <c r="AA150" s="45"/>
      <c r="AB150" s="43"/>
      <c r="AC150" s="45"/>
      <c r="AD150" s="45"/>
      <c r="AE150" s="101">
        <f t="shared" si="74"/>
        <v>0</v>
      </c>
    </row>
    <row r="151" spans="1:31" s="8" customFormat="1" ht="25.5" x14ac:dyDescent="0.2">
      <c r="A151" s="53" t="s">
        <v>124</v>
      </c>
      <c r="B151" s="43"/>
      <c r="C151" s="43"/>
      <c r="D151" s="43"/>
      <c r="E151" s="43"/>
      <c r="F151" s="43"/>
      <c r="G151" s="44"/>
      <c r="H151" s="45"/>
      <c r="I151" s="58"/>
      <c r="J151" s="46"/>
      <c r="K151" s="43"/>
      <c r="L151" s="45"/>
      <c r="M151" s="58"/>
      <c r="N151" s="46"/>
      <c r="O151" s="43"/>
      <c r="P151" s="55"/>
      <c r="Q151" s="46"/>
      <c r="R151" s="43"/>
      <c r="S151" s="55"/>
      <c r="T151" s="55"/>
      <c r="U151" s="58"/>
      <c r="V151" s="55"/>
      <c r="W151" s="43"/>
      <c r="X151" s="46"/>
      <c r="Y151" s="146"/>
      <c r="Z151" s="45"/>
      <c r="AA151" s="45"/>
      <c r="AB151" s="43"/>
      <c r="AC151" s="45"/>
      <c r="AD151" s="45"/>
      <c r="AE151" s="101">
        <f t="shared" si="74"/>
        <v>0</v>
      </c>
    </row>
    <row r="152" spans="1:31" s="8" customFormat="1" ht="25.5" x14ac:dyDescent="0.2">
      <c r="A152" s="53" t="s">
        <v>125</v>
      </c>
      <c r="B152" s="43"/>
      <c r="C152" s="43"/>
      <c r="D152" s="43"/>
      <c r="E152" s="43"/>
      <c r="F152" s="43"/>
      <c r="G152" s="44"/>
      <c r="H152" s="45"/>
      <c r="I152" s="58"/>
      <c r="J152" s="46"/>
      <c r="K152" s="43"/>
      <c r="L152" s="45"/>
      <c r="M152" s="58"/>
      <c r="N152" s="46"/>
      <c r="O152" s="43"/>
      <c r="P152" s="55"/>
      <c r="Q152" s="46"/>
      <c r="R152" s="43"/>
      <c r="S152" s="55"/>
      <c r="T152" s="55"/>
      <c r="U152" s="58"/>
      <c r="V152" s="55"/>
      <c r="W152" s="43"/>
      <c r="X152" s="46"/>
      <c r="Y152" s="146"/>
      <c r="Z152" s="45"/>
      <c r="AA152" s="45"/>
      <c r="AB152" s="43"/>
      <c r="AC152" s="45"/>
      <c r="AD152" s="45"/>
      <c r="AE152" s="101">
        <f t="shared" si="74"/>
        <v>0</v>
      </c>
    </row>
    <row r="153" spans="1:31" s="8" customFormat="1" ht="25.5" x14ac:dyDescent="0.2">
      <c r="A153" s="53" t="s">
        <v>126</v>
      </c>
      <c r="B153" s="43"/>
      <c r="C153" s="43"/>
      <c r="D153" s="43"/>
      <c r="E153" s="43"/>
      <c r="F153" s="43"/>
      <c r="G153" s="44"/>
      <c r="H153" s="45"/>
      <c r="I153" s="58"/>
      <c r="J153" s="46"/>
      <c r="K153" s="43"/>
      <c r="L153" s="45"/>
      <c r="M153" s="58"/>
      <c r="N153" s="46"/>
      <c r="O153" s="43"/>
      <c r="P153" s="55"/>
      <c r="Q153" s="46"/>
      <c r="R153" s="43"/>
      <c r="S153" s="55"/>
      <c r="T153" s="55"/>
      <c r="U153" s="58"/>
      <c r="V153" s="55"/>
      <c r="W153" s="43"/>
      <c r="X153" s="46"/>
      <c r="Y153" s="146"/>
      <c r="Z153" s="45"/>
      <c r="AA153" s="45"/>
      <c r="AB153" s="43"/>
      <c r="AC153" s="45"/>
      <c r="AD153" s="45"/>
      <c r="AE153" s="101">
        <f t="shared" si="74"/>
        <v>0</v>
      </c>
    </row>
    <row r="154" spans="1:31" s="8" customFormat="1" ht="38.25" x14ac:dyDescent="0.2">
      <c r="A154" s="53" t="s">
        <v>127</v>
      </c>
      <c r="B154" s="43"/>
      <c r="C154" s="43"/>
      <c r="D154" s="43"/>
      <c r="E154" s="43"/>
      <c r="F154" s="43"/>
      <c r="G154" s="44"/>
      <c r="H154" s="45"/>
      <c r="I154" s="58"/>
      <c r="J154" s="46"/>
      <c r="K154" s="43"/>
      <c r="L154" s="45"/>
      <c r="M154" s="58"/>
      <c r="N154" s="46"/>
      <c r="O154" s="43"/>
      <c r="P154" s="55"/>
      <c r="Q154" s="46"/>
      <c r="R154" s="43"/>
      <c r="S154" s="55"/>
      <c r="T154" s="55"/>
      <c r="U154" s="58"/>
      <c r="V154" s="55"/>
      <c r="W154" s="43"/>
      <c r="X154" s="46"/>
      <c r="Y154" s="146"/>
      <c r="Z154" s="45"/>
      <c r="AA154" s="45"/>
      <c r="AB154" s="43"/>
      <c r="AC154" s="45"/>
      <c r="AD154" s="45"/>
      <c r="AE154" s="101">
        <f t="shared" si="74"/>
        <v>0</v>
      </c>
    </row>
    <row r="155" spans="1:31" s="8" customFormat="1" ht="25.5" x14ac:dyDescent="0.2">
      <c r="A155" s="54" t="s">
        <v>128</v>
      </c>
      <c r="B155" s="43"/>
      <c r="C155" s="43"/>
      <c r="D155" s="43"/>
      <c r="E155" s="43"/>
      <c r="F155" s="43"/>
      <c r="G155" s="44"/>
      <c r="H155" s="45"/>
      <c r="I155" s="58"/>
      <c r="J155" s="46"/>
      <c r="K155" s="43"/>
      <c r="L155" s="45"/>
      <c r="M155" s="58"/>
      <c r="N155" s="46"/>
      <c r="O155" s="43"/>
      <c r="P155" s="55"/>
      <c r="Q155" s="46"/>
      <c r="R155" s="43"/>
      <c r="S155" s="55"/>
      <c r="T155" s="55"/>
      <c r="U155" s="58"/>
      <c r="V155" s="55"/>
      <c r="W155" s="43"/>
      <c r="X155" s="46"/>
      <c r="Y155" s="146"/>
      <c r="Z155" s="45"/>
      <c r="AA155" s="45"/>
      <c r="AB155" s="43"/>
      <c r="AC155" s="45"/>
      <c r="AD155" s="45"/>
      <c r="AE155" s="101">
        <f t="shared" si="74"/>
        <v>0</v>
      </c>
    </row>
    <row r="156" spans="1:31" s="8" customFormat="1" x14ac:dyDescent="0.2">
      <c r="A156" s="50" t="s">
        <v>129</v>
      </c>
      <c r="B156" s="43"/>
      <c r="C156" s="43"/>
      <c r="D156" s="43">
        <v>0</v>
      </c>
      <c r="E156" s="43"/>
      <c r="F156" s="43"/>
      <c r="G156" s="44"/>
      <c r="H156" s="45"/>
      <c r="I156" s="58"/>
      <c r="J156" s="46"/>
      <c r="K156" s="43"/>
      <c r="L156" s="45"/>
      <c r="M156" s="58"/>
      <c r="N156" s="46"/>
      <c r="O156" s="43"/>
      <c r="P156" s="55"/>
      <c r="Q156" s="46"/>
      <c r="R156" s="43"/>
      <c r="S156" s="55"/>
      <c r="T156" s="55"/>
      <c r="U156" s="58"/>
      <c r="V156" s="55"/>
      <c r="W156" s="43"/>
      <c r="X156" s="46"/>
      <c r="Y156" s="146"/>
      <c r="Z156" s="45"/>
      <c r="AA156" s="45"/>
      <c r="AB156" s="43"/>
      <c r="AC156" s="45"/>
      <c r="AD156" s="45"/>
      <c r="AE156" s="101">
        <f t="shared" si="74"/>
        <v>0</v>
      </c>
    </row>
    <row r="157" spans="1:31" s="8" customFormat="1" x14ac:dyDescent="0.2">
      <c r="A157" s="50" t="s">
        <v>130</v>
      </c>
      <c r="B157" s="43"/>
      <c r="C157" s="43"/>
      <c r="D157" s="43">
        <v>24827.701499999999</v>
      </c>
      <c r="E157" s="43">
        <v>24827.701499999999</v>
      </c>
      <c r="F157" s="43"/>
      <c r="G157" s="44"/>
      <c r="H157" s="45"/>
      <c r="I157" s="58"/>
      <c r="J157" s="46"/>
      <c r="K157" s="43"/>
      <c r="L157" s="45"/>
      <c r="M157" s="58"/>
      <c r="N157" s="46"/>
      <c r="O157" s="43"/>
      <c r="P157" s="55"/>
      <c r="Q157" s="46"/>
      <c r="R157" s="43"/>
      <c r="S157" s="55"/>
      <c r="T157" s="55"/>
      <c r="U157" s="58"/>
      <c r="V157" s="55"/>
      <c r="W157" s="43"/>
      <c r="X157" s="46"/>
      <c r="Y157" s="146"/>
      <c r="Z157" s="45"/>
      <c r="AA157" s="45"/>
      <c r="AB157" s="43"/>
      <c r="AC157" s="45"/>
      <c r="AD157" s="45"/>
      <c r="AE157" s="101">
        <f t="shared" si="74"/>
        <v>0</v>
      </c>
    </row>
    <row r="158" spans="1:31" s="8" customFormat="1" x14ac:dyDescent="0.2">
      <c r="A158" s="50" t="s">
        <v>131</v>
      </c>
      <c r="B158" s="43"/>
      <c r="C158" s="43"/>
      <c r="D158" s="43">
        <v>27000</v>
      </c>
      <c r="E158" s="43"/>
      <c r="F158" s="43"/>
      <c r="G158" s="44"/>
      <c r="H158" s="45"/>
      <c r="I158" s="58"/>
      <c r="J158" s="46">
        <v>27000</v>
      </c>
      <c r="K158" s="43"/>
      <c r="L158" s="45"/>
      <c r="M158" s="58"/>
      <c r="N158" s="46"/>
      <c r="O158" s="43"/>
      <c r="P158" s="55"/>
      <c r="Q158" s="46"/>
      <c r="R158" s="43"/>
      <c r="S158" s="55"/>
      <c r="T158" s="55"/>
      <c r="U158" s="58"/>
      <c r="V158" s="55"/>
      <c r="W158" s="43"/>
      <c r="X158" s="46"/>
      <c r="Y158" s="146"/>
      <c r="Z158" s="45"/>
      <c r="AA158" s="45"/>
      <c r="AB158" s="43"/>
      <c r="AC158" s="45"/>
      <c r="AD158" s="45"/>
      <c r="AE158" s="101">
        <f t="shared" si="74"/>
        <v>0</v>
      </c>
    </row>
    <row r="159" spans="1:31" s="8" customFormat="1" x14ac:dyDescent="0.2">
      <c r="A159" s="50" t="s">
        <v>132</v>
      </c>
      <c r="B159" s="43"/>
      <c r="C159" s="43">
        <v>24350.584500000001</v>
      </c>
      <c r="D159" s="43">
        <v>0</v>
      </c>
      <c r="E159" s="43">
        <v>24350.584500000001</v>
      </c>
      <c r="F159" s="43"/>
      <c r="G159" s="44"/>
      <c r="H159" s="45"/>
      <c r="I159" s="58"/>
      <c r="J159" s="46"/>
      <c r="K159" s="43"/>
      <c r="L159" s="45"/>
      <c r="M159" s="58"/>
      <c r="N159" s="46"/>
      <c r="O159" s="43"/>
      <c r="P159" s="55"/>
      <c r="Q159" s="46"/>
      <c r="R159" s="43"/>
      <c r="S159" s="55"/>
      <c r="T159" s="55"/>
      <c r="U159" s="58"/>
      <c r="V159" s="55"/>
      <c r="W159" s="43"/>
      <c r="X159" s="46"/>
      <c r="Y159" s="146"/>
      <c r="Z159" s="45"/>
      <c r="AA159" s="45"/>
      <c r="AB159" s="43"/>
      <c r="AC159" s="45"/>
      <c r="AD159" s="45"/>
      <c r="AE159" s="101">
        <f t="shared" si="74"/>
        <v>0</v>
      </c>
    </row>
    <row r="160" spans="1:31" s="8" customFormat="1" x14ac:dyDescent="0.2">
      <c r="A160" s="50" t="s">
        <v>133</v>
      </c>
      <c r="B160" s="43"/>
      <c r="C160" s="43"/>
      <c r="D160" s="43">
        <v>10219.720499999999</v>
      </c>
      <c r="E160" s="43"/>
      <c r="F160" s="43"/>
      <c r="G160" s="44"/>
      <c r="H160" s="45"/>
      <c r="I160" s="58"/>
      <c r="J160" s="46">
        <v>10351</v>
      </c>
      <c r="K160" s="43"/>
      <c r="L160" s="45"/>
      <c r="M160" s="58"/>
      <c r="N160" s="46"/>
      <c r="O160" s="43"/>
      <c r="P160" s="55"/>
      <c r="Q160" s="46"/>
      <c r="R160" s="43"/>
      <c r="S160" s="55"/>
      <c r="T160" s="55"/>
      <c r="U160" s="58"/>
      <c r="V160" s="55"/>
      <c r="W160" s="43"/>
      <c r="X160" s="46"/>
      <c r="Y160" s="146"/>
      <c r="Z160" s="45"/>
      <c r="AA160" s="45"/>
      <c r="AB160" s="43"/>
      <c r="AC160" s="45"/>
      <c r="AD160" s="45"/>
      <c r="AE160" s="101">
        <f t="shared" si="74"/>
        <v>-131.27950000000055</v>
      </c>
    </row>
    <row r="161" spans="1:31" s="8" customFormat="1" x14ac:dyDescent="0.2">
      <c r="A161" s="50" t="s">
        <v>134</v>
      </c>
      <c r="B161" s="43"/>
      <c r="C161" s="43"/>
      <c r="D161" s="43">
        <v>0</v>
      </c>
      <c r="E161" s="43"/>
      <c r="F161" s="43"/>
      <c r="G161" s="44"/>
      <c r="H161" s="45"/>
      <c r="I161" s="58">
        <v>20169</v>
      </c>
      <c r="J161" s="46">
        <v>20169</v>
      </c>
      <c r="K161" s="43"/>
      <c r="L161" s="45"/>
      <c r="M161" s="58"/>
      <c r="N161" s="46"/>
      <c r="O161" s="43"/>
      <c r="P161" s="55"/>
      <c r="Q161" s="46"/>
      <c r="R161" s="43"/>
      <c r="S161" s="55"/>
      <c r="T161" s="55"/>
      <c r="U161" s="58"/>
      <c r="V161" s="55"/>
      <c r="W161" s="43"/>
      <c r="X161" s="46"/>
      <c r="Y161" s="146"/>
      <c r="Z161" s="45"/>
      <c r="AA161" s="45"/>
      <c r="AB161" s="43"/>
      <c r="AC161" s="45"/>
      <c r="AD161" s="45"/>
      <c r="AE161" s="101">
        <f t="shared" si="74"/>
        <v>0</v>
      </c>
    </row>
    <row r="162" spans="1:31" s="8" customFormat="1" ht="38.25" x14ac:dyDescent="0.2">
      <c r="A162" s="54" t="s">
        <v>135</v>
      </c>
      <c r="B162" s="43"/>
      <c r="C162" s="43"/>
      <c r="D162" s="43"/>
      <c r="E162" s="43"/>
      <c r="F162" s="43"/>
      <c r="G162" s="44"/>
      <c r="H162" s="45"/>
      <c r="I162" s="58"/>
      <c r="J162" s="46"/>
      <c r="K162" s="43"/>
      <c r="L162" s="45"/>
      <c r="M162" s="58"/>
      <c r="N162" s="46"/>
      <c r="O162" s="43"/>
      <c r="P162" s="55"/>
      <c r="Q162" s="46"/>
      <c r="R162" s="43"/>
      <c r="S162" s="55"/>
      <c r="T162" s="55"/>
      <c r="U162" s="58"/>
      <c r="V162" s="55"/>
      <c r="W162" s="43"/>
      <c r="X162" s="46"/>
      <c r="Y162" s="146"/>
      <c r="Z162" s="45"/>
      <c r="AA162" s="45"/>
      <c r="AB162" s="43"/>
      <c r="AC162" s="45"/>
      <c r="AD162" s="45"/>
      <c r="AE162" s="101">
        <f t="shared" si="74"/>
        <v>0</v>
      </c>
    </row>
    <row r="163" spans="1:31" s="8" customFormat="1" x14ac:dyDescent="0.2">
      <c r="A163" s="50" t="s">
        <v>130</v>
      </c>
      <c r="B163" s="43"/>
      <c r="C163" s="43"/>
      <c r="D163" s="43">
        <v>2471.8014000000003</v>
      </c>
      <c r="E163" s="43"/>
      <c r="F163" s="43"/>
      <c r="G163" s="44"/>
      <c r="H163" s="45"/>
      <c r="I163" s="58">
        <v>5194.21</v>
      </c>
      <c r="J163" s="46">
        <v>7666</v>
      </c>
      <c r="K163" s="43"/>
      <c r="L163" s="45"/>
      <c r="M163" s="58"/>
      <c r="N163" s="46"/>
      <c r="O163" s="43"/>
      <c r="P163" s="55"/>
      <c r="Q163" s="46"/>
      <c r="R163" s="43"/>
      <c r="S163" s="55"/>
      <c r="T163" s="55"/>
      <c r="U163" s="58"/>
      <c r="V163" s="55"/>
      <c r="W163" s="43"/>
      <c r="X163" s="46"/>
      <c r="Y163" s="146"/>
      <c r="Z163" s="45"/>
      <c r="AA163" s="45"/>
      <c r="AB163" s="43"/>
      <c r="AC163" s="45"/>
      <c r="AD163" s="45"/>
      <c r="AE163" s="101">
        <f t="shared" si="74"/>
        <v>1.1400000000321597E-2</v>
      </c>
    </row>
    <row r="164" spans="1:31" s="8" customFormat="1" x14ac:dyDescent="0.2">
      <c r="A164" s="50" t="s">
        <v>131</v>
      </c>
      <c r="B164" s="43"/>
      <c r="C164" s="43"/>
      <c r="D164" s="43">
        <v>5671.7503100000004</v>
      </c>
      <c r="E164" s="43"/>
      <c r="F164" s="43"/>
      <c r="G164" s="44"/>
      <c r="H164" s="45"/>
      <c r="I164" s="58">
        <v>5562.25</v>
      </c>
      <c r="J164" s="46">
        <v>11234</v>
      </c>
      <c r="K164" s="43"/>
      <c r="L164" s="45"/>
      <c r="M164" s="58"/>
      <c r="N164" s="46"/>
      <c r="O164" s="43"/>
      <c r="P164" s="55"/>
      <c r="Q164" s="46"/>
      <c r="R164" s="43"/>
      <c r="S164" s="55"/>
      <c r="T164" s="55"/>
      <c r="U164" s="58"/>
      <c r="V164" s="55"/>
      <c r="W164" s="43"/>
      <c r="X164" s="46"/>
      <c r="Y164" s="146"/>
      <c r="Z164" s="45"/>
      <c r="AA164" s="45"/>
      <c r="AB164" s="43"/>
      <c r="AC164" s="45"/>
      <c r="AD164" s="45"/>
      <c r="AE164" s="101">
        <f t="shared" si="74"/>
        <v>3.0999999944469891E-4</v>
      </c>
    </row>
    <row r="165" spans="1:31" s="8" customFormat="1" x14ac:dyDescent="0.2">
      <c r="A165" s="50" t="s">
        <v>132</v>
      </c>
      <c r="B165" s="43"/>
      <c r="C165" s="43"/>
      <c r="D165" s="43">
        <v>6694.4742200000001</v>
      </c>
      <c r="E165" s="43">
        <v>1111.8689999999999</v>
      </c>
      <c r="F165" s="43"/>
      <c r="G165" s="44"/>
      <c r="H165" s="45"/>
      <c r="I165" s="58">
        <v>3739.5</v>
      </c>
      <c r="J165" s="46">
        <v>9432</v>
      </c>
      <c r="K165" s="43"/>
      <c r="L165" s="45"/>
      <c r="M165" s="58"/>
      <c r="N165" s="46"/>
      <c r="O165" s="43"/>
      <c r="P165" s="55"/>
      <c r="Q165" s="46"/>
      <c r="R165" s="43"/>
      <c r="S165" s="55"/>
      <c r="T165" s="55"/>
      <c r="U165" s="58"/>
      <c r="V165" s="55"/>
      <c r="W165" s="43"/>
      <c r="X165" s="46"/>
      <c r="Y165" s="146"/>
      <c r="Z165" s="45"/>
      <c r="AA165" s="45"/>
      <c r="AB165" s="43"/>
      <c r="AC165" s="45"/>
      <c r="AD165" s="45"/>
      <c r="AE165" s="101">
        <f t="shared" si="74"/>
        <v>-109.89478000000054</v>
      </c>
    </row>
    <row r="166" spans="1:31" s="8" customFormat="1" x14ac:dyDescent="0.2">
      <c r="A166" s="50" t="s">
        <v>133</v>
      </c>
      <c r="B166" s="43"/>
      <c r="C166" s="43"/>
      <c r="D166" s="43">
        <v>59.442999999999998</v>
      </c>
      <c r="E166" s="43"/>
      <c r="F166" s="43"/>
      <c r="G166" s="44"/>
      <c r="H166" s="45"/>
      <c r="I166" s="58">
        <v>8361.56</v>
      </c>
      <c r="J166" s="46">
        <v>8421</v>
      </c>
      <c r="K166" s="43"/>
      <c r="L166" s="45"/>
      <c r="M166" s="58"/>
      <c r="N166" s="46"/>
      <c r="O166" s="43"/>
      <c r="P166" s="55"/>
      <c r="Q166" s="46"/>
      <c r="R166" s="43"/>
      <c r="S166" s="55"/>
      <c r="T166" s="55"/>
      <c r="U166" s="58"/>
      <c r="V166" s="55"/>
      <c r="W166" s="43"/>
      <c r="X166" s="46"/>
      <c r="Y166" s="146"/>
      <c r="Z166" s="45"/>
      <c r="AA166" s="45"/>
      <c r="AB166" s="43"/>
      <c r="AC166" s="45"/>
      <c r="AD166" s="45"/>
      <c r="AE166" s="101">
        <f t="shared" si="74"/>
        <v>2.999999998792191E-3</v>
      </c>
    </row>
    <row r="167" spans="1:31" s="8" customFormat="1" x14ac:dyDescent="0.2">
      <c r="A167" s="50" t="s">
        <v>134</v>
      </c>
      <c r="B167" s="43"/>
      <c r="C167" s="43"/>
      <c r="D167" s="43">
        <v>0</v>
      </c>
      <c r="E167" s="43"/>
      <c r="F167" s="43"/>
      <c r="G167" s="44"/>
      <c r="H167" s="45"/>
      <c r="I167" s="58">
        <v>9873</v>
      </c>
      <c r="J167" s="46">
        <v>9873</v>
      </c>
      <c r="K167" s="43"/>
      <c r="L167" s="45"/>
      <c r="M167" s="58"/>
      <c r="N167" s="46"/>
      <c r="O167" s="43"/>
      <c r="P167" s="55"/>
      <c r="Q167" s="46"/>
      <c r="R167" s="43"/>
      <c r="S167" s="55"/>
      <c r="T167" s="55"/>
      <c r="U167" s="58"/>
      <c r="V167" s="55"/>
      <c r="W167" s="43"/>
      <c r="X167" s="46"/>
      <c r="Y167" s="146"/>
      <c r="Z167" s="45"/>
      <c r="AA167" s="45"/>
      <c r="AB167" s="43"/>
      <c r="AC167" s="45"/>
      <c r="AD167" s="45"/>
      <c r="AE167" s="101">
        <f t="shared" si="74"/>
        <v>0</v>
      </c>
    </row>
    <row r="168" spans="1:31" s="8" customFormat="1" ht="25.5" x14ac:dyDescent="0.2">
      <c r="A168" s="53" t="s">
        <v>136</v>
      </c>
      <c r="B168" s="43"/>
      <c r="C168" s="43"/>
      <c r="D168" s="43">
        <v>13583.414140000001</v>
      </c>
      <c r="E168" s="43"/>
      <c r="F168" s="43"/>
      <c r="G168" s="44"/>
      <c r="H168" s="45"/>
      <c r="I168" s="58">
        <f>3516.58-3516.58</f>
        <v>0</v>
      </c>
      <c r="J168" s="46">
        <f>17100-3516.58</f>
        <v>13583.42</v>
      </c>
      <c r="K168" s="43"/>
      <c r="L168" s="45"/>
      <c r="M168" s="58"/>
      <c r="N168" s="46"/>
      <c r="O168" s="43"/>
      <c r="P168" s="55"/>
      <c r="Q168" s="46"/>
      <c r="R168" s="43"/>
      <c r="S168" s="55"/>
      <c r="T168" s="55"/>
      <c r="U168" s="58"/>
      <c r="V168" s="55"/>
      <c r="W168" s="43"/>
      <c r="X168" s="46"/>
      <c r="Y168" s="146"/>
      <c r="Z168" s="45"/>
      <c r="AA168" s="45"/>
      <c r="AB168" s="43"/>
      <c r="AC168" s="45"/>
      <c r="AD168" s="45"/>
      <c r="AE168" s="101">
        <f t="shared" si="74"/>
        <v>-5.8599999993020901E-3</v>
      </c>
    </row>
    <row r="169" spans="1:31" s="8" customFormat="1" ht="25.5" x14ac:dyDescent="0.2">
      <c r="A169" s="53" t="s">
        <v>153</v>
      </c>
      <c r="B169" s="43"/>
      <c r="C169" s="43"/>
      <c r="D169" s="43"/>
      <c r="E169" s="43"/>
      <c r="F169" s="43"/>
      <c r="G169" s="44"/>
      <c r="H169" s="45"/>
      <c r="I169" s="58">
        <v>5053.58</v>
      </c>
      <c r="J169" s="46"/>
      <c r="K169" s="43"/>
      <c r="L169" s="45"/>
      <c r="M169" s="58"/>
      <c r="N169" s="58">
        <v>5053.5730000000003</v>
      </c>
      <c r="O169" s="43"/>
      <c r="P169" s="55"/>
      <c r="Q169" s="46"/>
      <c r="R169" s="43"/>
      <c r="S169" s="55"/>
      <c r="T169" s="55"/>
      <c r="U169" s="58"/>
      <c r="V169" s="55"/>
      <c r="W169" s="43"/>
      <c r="X169" s="46"/>
      <c r="Y169" s="146"/>
      <c r="Z169" s="45"/>
      <c r="AA169" s="45"/>
      <c r="AB169" s="43"/>
      <c r="AC169" s="45"/>
      <c r="AD169" s="45"/>
      <c r="AE169" s="101">
        <f t="shared" si="74"/>
        <v>6.9999999996070983E-3</v>
      </c>
    </row>
    <row r="170" spans="1:31" s="8" customFormat="1" ht="25.5" x14ac:dyDescent="0.2">
      <c r="A170" s="53" t="s">
        <v>154</v>
      </c>
      <c r="B170" s="43"/>
      <c r="C170" s="43"/>
      <c r="D170" s="43"/>
      <c r="E170" s="43"/>
      <c r="F170" s="43"/>
      <c r="G170" s="44"/>
      <c r="H170" s="45"/>
      <c r="I170" s="58">
        <v>5071.6099999999997</v>
      </c>
      <c r="J170" s="46"/>
      <c r="K170" s="43"/>
      <c r="L170" s="45"/>
      <c r="M170" s="58"/>
      <c r="N170" s="58">
        <v>5071.6019999999999</v>
      </c>
      <c r="O170" s="43"/>
      <c r="P170" s="55"/>
      <c r="Q170" s="46"/>
      <c r="R170" s="43"/>
      <c r="S170" s="55"/>
      <c r="T170" s="55"/>
      <c r="U170" s="58"/>
      <c r="V170" s="55"/>
      <c r="W170" s="43"/>
      <c r="X170" s="46"/>
      <c r="Y170" s="146"/>
      <c r="Z170" s="45"/>
      <c r="AA170" s="45"/>
      <c r="AB170" s="43"/>
      <c r="AC170" s="45"/>
      <c r="AD170" s="45"/>
      <c r="AE170" s="101">
        <f t="shared" si="74"/>
        <v>7.9999999998108251E-3</v>
      </c>
    </row>
    <row r="171" spans="1:31" s="8" customFormat="1" ht="47.25" customHeight="1" x14ac:dyDescent="0.2">
      <c r="A171" s="53" t="s">
        <v>198</v>
      </c>
      <c r="B171" s="43"/>
      <c r="C171" s="43"/>
      <c r="D171" s="43"/>
      <c r="E171" s="43"/>
      <c r="F171" s="43"/>
      <c r="G171" s="45"/>
      <c r="H171" s="45"/>
      <c r="I171" s="58"/>
      <c r="J171" s="46"/>
      <c r="K171" s="43"/>
      <c r="L171" s="45">
        <v>18821</v>
      </c>
      <c r="M171" s="58"/>
      <c r="N171" s="58"/>
      <c r="O171" s="43"/>
      <c r="P171" s="55"/>
      <c r="Q171" s="58"/>
      <c r="R171" s="43"/>
      <c r="S171" s="55"/>
      <c r="T171" s="55"/>
      <c r="U171" s="58"/>
      <c r="V171" s="55"/>
      <c r="W171" s="43"/>
      <c r="X171" s="46"/>
      <c r="Y171" s="146"/>
      <c r="Z171" s="45"/>
      <c r="AA171" s="45"/>
      <c r="AB171" s="43"/>
      <c r="AC171" s="45"/>
      <c r="AD171" s="45"/>
      <c r="AE171" s="101"/>
    </row>
    <row r="172" spans="1:31" s="8" customFormat="1" ht="47.25" customHeight="1" x14ac:dyDescent="0.2">
      <c r="A172" s="53" t="s">
        <v>199</v>
      </c>
      <c r="B172" s="43"/>
      <c r="C172" s="43"/>
      <c r="D172" s="43"/>
      <c r="E172" s="43"/>
      <c r="F172" s="43"/>
      <c r="G172" s="45"/>
      <c r="H172" s="45"/>
      <c r="I172" s="58"/>
      <c r="J172" s="46"/>
      <c r="K172" s="43"/>
      <c r="L172" s="45">
        <v>14319</v>
      </c>
      <c r="M172" s="58"/>
      <c r="N172" s="58"/>
      <c r="O172" s="43"/>
      <c r="P172" s="55"/>
      <c r="Q172" s="58"/>
      <c r="R172" s="43"/>
      <c r="S172" s="55"/>
      <c r="T172" s="55"/>
      <c r="U172" s="58"/>
      <c r="V172" s="55"/>
      <c r="W172" s="43"/>
      <c r="X172" s="46"/>
      <c r="Y172" s="146"/>
      <c r="Z172" s="45"/>
      <c r="AA172" s="45"/>
      <c r="AB172" s="43"/>
      <c r="AC172" s="45"/>
      <c r="AD172" s="45"/>
      <c r="AE172" s="101"/>
    </row>
    <row r="173" spans="1:31" s="8" customFormat="1" ht="47.25" customHeight="1" x14ac:dyDescent="0.2">
      <c r="A173" s="53" t="s">
        <v>200</v>
      </c>
      <c r="B173" s="43"/>
      <c r="C173" s="43"/>
      <c r="D173" s="43"/>
      <c r="E173" s="43"/>
      <c r="F173" s="43"/>
      <c r="G173" s="45"/>
      <c r="H173" s="45"/>
      <c r="I173" s="58"/>
      <c r="J173" s="46"/>
      <c r="K173" s="43"/>
      <c r="L173" s="45">
        <v>7079</v>
      </c>
      <c r="M173" s="58"/>
      <c r="N173" s="58"/>
      <c r="O173" s="43"/>
      <c r="P173" s="55"/>
      <c r="Q173" s="58"/>
      <c r="R173" s="43"/>
      <c r="S173" s="55"/>
      <c r="T173" s="55"/>
      <c r="U173" s="58"/>
      <c r="V173" s="55"/>
      <c r="W173" s="43"/>
      <c r="X173" s="46"/>
      <c r="Y173" s="146"/>
      <c r="Z173" s="45"/>
      <c r="AA173" s="45"/>
      <c r="AB173" s="43"/>
      <c r="AC173" s="45"/>
      <c r="AD173" s="45"/>
      <c r="AE173" s="101"/>
    </row>
    <row r="174" spans="1:31" s="8" customFormat="1" ht="47.25" customHeight="1" x14ac:dyDescent="0.2">
      <c r="A174" s="53" t="s">
        <v>162</v>
      </c>
      <c r="B174" s="43"/>
      <c r="C174" s="43"/>
      <c r="D174" s="43"/>
      <c r="E174" s="43"/>
      <c r="F174" s="43"/>
      <c r="G174" s="45"/>
      <c r="H174" s="45"/>
      <c r="I174" s="58"/>
      <c r="J174" s="46"/>
      <c r="K174" s="43"/>
      <c r="L174" s="45">
        <v>2898.03</v>
      </c>
      <c r="M174" s="58">
        <v>2307.08</v>
      </c>
      <c r="N174" s="58"/>
      <c r="O174" s="43"/>
      <c r="P174" s="55"/>
      <c r="Q174" s="58">
        <v>2307.08</v>
      </c>
      <c r="R174" s="43"/>
      <c r="S174" s="55"/>
      <c r="T174" s="55"/>
      <c r="U174" s="58"/>
      <c r="V174" s="55"/>
      <c r="W174" s="43"/>
      <c r="X174" s="46"/>
      <c r="Y174" s="146"/>
      <c r="Z174" s="45"/>
      <c r="AA174" s="45"/>
      <c r="AB174" s="43"/>
      <c r="AC174" s="45"/>
      <c r="AD174" s="45"/>
      <c r="AE174" s="101">
        <f t="shared" ref="AE174:AE185" si="75">C174+D174+I174+M174+P174+S174-E174-J174-N174-Q174-U174</f>
        <v>0</v>
      </c>
    </row>
    <row r="175" spans="1:31" s="8" customFormat="1" ht="42.75" customHeight="1" x14ac:dyDescent="0.2">
      <c r="A175" s="53" t="s">
        <v>163</v>
      </c>
      <c r="B175" s="43"/>
      <c r="C175" s="43"/>
      <c r="D175" s="43"/>
      <c r="E175" s="43"/>
      <c r="F175" s="43"/>
      <c r="G175" s="45"/>
      <c r="H175" s="45"/>
      <c r="I175" s="58"/>
      <c r="J175" s="46"/>
      <c r="K175" s="43"/>
      <c r="L175" s="45">
        <v>19623.91</v>
      </c>
      <c r="M175" s="58">
        <v>19490.73</v>
      </c>
      <c r="N175" s="58"/>
      <c r="O175" s="43"/>
      <c r="P175" s="55"/>
      <c r="Q175" s="58">
        <v>19490.73</v>
      </c>
      <c r="R175" s="43"/>
      <c r="S175" s="55"/>
      <c r="T175" s="55"/>
      <c r="U175" s="58"/>
      <c r="V175" s="55"/>
      <c r="W175" s="43"/>
      <c r="X175" s="46"/>
      <c r="Y175" s="146"/>
      <c r="Z175" s="45"/>
      <c r="AA175" s="45"/>
      <c r="AB175" s="43"/>
      <c r="AC175" s="45"/>
      <c r="AD175" s="45"/>
      <c r="AE175" s="101">
        <f t="shared" si="75"/>
        <v>0</v>
      </c>
    </row>
    <row r="176" spans="1:31" s="8" customFormat="1" ht="42.75" customHeight="1" x14ac:dyDescent="0.2">
      <c r="A176" s="53" t="s">
        <v>164</v>
      </c>
      <c r="B176" s="43"/>
      <c r="C176" s="43"/>
      <c r="D176" s="43"/>
      <c r="E176" s="43"/>
      <c r="F176" s="43"/>
      <c r="G176" s="45"/>
      <c r="H176" s="45"/>
      <c r="I176" s="58"/>
      <c r="J176" s="46"/>
      <c r="K176" s="43"/>
      <c r="L176" s="45">
        <v>7371.15</v>
      </c>
      <c r="M176" s="58">
        <v>3969.08</v>
      </c>
      <c r="N176" s="58"/>
      <c r="O176" s="43"/>
      <c r="P176" s="55"/>
      <c r="Q176" s="58">
        <v>3969.08</v>
      </c>
      <c r="R176" s="43"/>
      <c r="S176" s="55"/>
      <c r="T176" s="55"/>
      <c r="U176" s="58"/>
      <c r="V176" s="55"/>
      <c r="W176" s="43"/>
      <c r="X176" s="46"/>
      <c r="Y176" s="146"/>
      <c r="Z176" s="45"/>
      <c r="AA176" s="45"/>
      <c r="AB176" s="43"/>
      <c r="AC176" s="45"/>
      <c r="AD176" s="45"/>
      <c r="AE176" s="101">
        <f t="shared" si="75"/>
        <v>0</v>
      </c>
    </row>
    <row r="177" spans="1:31" s="8" customFormat="1" x14ac:dyDescent="0.2">
      <c r="A177" s="181" t="s">
        <v>168</v>
      </c>
      <c r="B177" s="179"/>
      <c r="C177" s="179"/>
      <c r="D177" s="179"/>
      <c r="E177" s="179"/>
      <c r="F177" s="179"/>
      <c r="G177" s="136"/>
      <c r="H177" s="136"/>
      <c r="I177" s="136"/>
      <c r="J177" s="136"/>
      <c r="K177" s="179"/>
      <c r="L177" s="136"/>
      <c r="M177" s="136"/>
      <c r="N177" s="136"/>
      <c r="O177" s="179"/>
      <c r="P177" s="136"/>
      <c r="Q177" s="136"/>
      <c r="R177" s="179"/>
      <c r="S177" s="136"/>
      <c r="T177" s="136"/>
      <c r="U177" s="136"/>
      <c r="V177" s="136"/>
      <c r="W177" s="179"/>
      <c r="X177" s="180"/>
      <c r="Y177" s="136"/>
      <c r="Z177" s="136"/>
      <c r="AA177" s="136"/>
      <c r="AB177" s="179"/>
      <c r="AC177" s="136"/>
      <c r="AD177" s="136"/>
      <c r="AE177" s="101"/>
    </row>
    <row r="178" spans="1:31" s="8" customFormat="1" ht="42.75" customHeight="1" x14ac:dyDescent="0.2">
      <c r="A178" s="184" t="s">
        <v>231</v>
      </c>
      <c r="B178" s="45"/>
      <c r="C178" s="45"/>
      <c r="D178" s="45"/>
      <c r="E178" s="45"/>
      <c r="F178" s="45"/>
      <c r="G178" s="45"/>
      <c r="H178" s="45"/>
      <c r="I178" s="45">
        <v>27586.7</v>
      </c>
      <c r="J178" s="45"/>
      <c r="K178" s="45"/>
      <c r="L178" s="45"/>
      <c r="M178" s="45">
        <v>82916.7</v>
      </c>
      <c r="N178" s="45"/>
      <c r="O178" s="45"/>
      <c r="P178" s="45">
        <v>34100</v>
      </c>
      <c r="Q178" s="45"/>
      <c r="R178" s="45"/>
      <c r="S178" s="45"/>
      <c r="T178" s="45"/>
      <c r="U178" s="45">
        <v>144603.4</v>
      </c>
      <c r="V178" s="45"/>
      <c r="W178" s="45"/>
      <c r="X178" s="45"/>
      <c r="Y178" s="45"/>
      <c r="Z178" s="45"/>
      <c r="AA178" s="45"/>
      <c r="AB178" s="45"/>
      <c r="AC178" s="45"/>
      <c r="AD178" s="45"/>
      <c r="AE178" s="101"/>
    </row>
    <row r="179" spans="1:31" s="8" customFormat="1" ht="42.75" customHeight="1" x14ac:dyDescent="0.2">
      <c r="A179" s="184" t="s">
        <v>232</v>
      </c>
      <c r="B179" s="45"/>
      <c r="C179" s="45"/>
      <c r="D179" s="45"/>
      <c r="E179" s="45"/>
      <c r="F179" s="45"/>
      <c r="G179" s="45"/>
      <c r="H179" s="45"/>
      <c r="I179" s="45">
        <v>73679</v>
      </c>
      <c r="J179" s="45"/>
      <c r="K179" s="45"/>
      <c r="L179" s="45"/>
      <c r="M179" s="45">
        <v>74500</v>
      </c>
      <c r="N179" s="45"/>
      <c r="O179" s="45"/>
      <c r="P179" s="45"/>
      <c r="Q179" s="45">
        <v>148179</v>
      </c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101"/>
    </row>
    <row r="180" spans="1:31" s="8" customFormat="1" ht="25.5" x14ac:dyDescent="0.2">
      <c r="A180" s="184" t="s">
        <v>233</v>
      </c>
      <c r="B180" s="45"/>
      <c r="C180" s="45"/>
      <c r="D180" s="45"/>
      <c r="E180" s="45"/>
      <c r="F180" s="45"/>
      <c r="G180" s="45"/>
      <c r="H180" s="45"/>
      <c r="I180" s="45">
        <v>28790</v>
      </c>
      <c r="J180" s="45"/>
      <c r="K180" s="45"/>
      <c r="L180" s="45"/>
      <c r="M180" s="45">
        <v>119700.265</v>
      </c>
      <c r="N180" s="45"/>
      <c r="O180" s="45"/>
      <c r="P180" s="45"/>
      <c r="Q180" s="45">
        <v>148490.26500000001</v>
      </c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101"/>
    </row>
    <row r="181" spans="1:31" s="8" customFormat="1" x14ac:dyDescent="0.2">
      <c r="A181" s="184" t="s">
        <v>234</v>
      </c>
      <c r="B181" s="45"/>
      <c r="C181" s="45"/>
      <c r="D181" s="45"/>
      <c r="E181" s="45"/>
      <c r="F181" s="45"/>
      <c r="G181" s="45"/>
      <c r="H181" s="45"/>
      <c r="I181" s="45">
        <v>41932.316560000007</v>
      </c>
      <c r="J181" s="45"/>
      <c r="K181" s="45"/>
      <c r="L181" s="45"/>
      <c r="M181" s="45">
        <v>40572.828000000009</v>
      </c>
      <c r="N181" s="45"/>
      <c r="O181" s="45"/>
      <c r="P181" s="45">
        <v>62651.048999999999</v>
      </c>
      <c r="Q181" s="45"/>
      <c r="R181" s="45"/>
      <c r="S181" s="45"/>
      <c r="T181" s="45"/>
      <c r="U181" s="45">
        <v>145156.19356000001</v>
      </c>
      <c r="V181" s="45"/>
      <c r="W181" s="45"/>
      <c r="X181" s="45"/>
      <c r="Y181" s="45"/>
      <c r="Z181" s="45"/>
      <c r="AA181" s="45"/>
      <c r="AB181" s="45"/>
      <c r="AC181" s="45"/>
      <c r="AD181" s="45"/>
      <c r="AE181" s="101"/>
    </row>
    <row r="182" spans="1:31" s="8" customFormat="1" x14ac:dyDescent="0.2">
      <c r="A182" s="182" t="s">
        <v>138</v>
      </c>
      <c r="B182" s="183">
        <f>SUM(B143:B181)</f>
        <v>0</v>
      </c>
      <c r="C182" s="183">
        <f t="shared" ref="C182:AD182" si="76">SUM(C143:C181)</f>
        <v>24350.584500000001</v>
      </c>
      <c r="D182" s="183">
        <f t="shared" si="76"/>
        <v>148609.02007999999</v>
      </c>
      <c r="E182" s="183">
        <f t="shared" si="76"/>
        <v>50290.154999999999</v>
      </c>
      <c r="F182" s="183">
        <f t="shared" si="76"/>
        <v>0</v>
      </c>
      <c r="G182" s="183">
        <f t="shared" si="76"/>
        <v>0</v>
      </c>
      <c r="H182" s="183">
        <f t="shared" si="76"/>
        <v>0</v>
      </c>
      <c r="I182" s="183">
        <f t="shared" si="76"/>
        <v>293622.26656000002</v>
      </c>
      <c r="J182" s="183">
        <f t="shared" si="76"/>
        <v>183036.73</v>
      </c>
      <c r="K182" s="183">
        <f t="shared" si="76"/>
        <v>0</v>
      </c>
      <c r="L182" s="183">
        <f t="shared" si="76"/>
        <v>70112.09</v>
      </c>
      <c r="M182" s="183">
        <f t="shared" si="76"/>
        <v>343456.68299999996</v>
      </c>
      <c r="N182" s="183">
        <f t="shared" si="76"/>
        <v>62662.595000000001</v>
      </c>
      <c r="O182" s="183">
        <f t="shared" si="76"/>
        <v>0</v>
      </c>
      <c r="P182" s="183">
        <f t="shared" si="76"/>
        <v>96751.048999999999</v>
      </c>
      <c r="Q182" s="183">
        <f t="shared" si="76"/>
        <v>322436.15500000003</v>
      </c>
      <c r="R182" s="183">
        <f t="shared" si="76"/>
        <v>0</v>
      </c>
      <c r="S182" s="183">
        <f t="shared" si="76"/>
        <v>0</v>
      </c>
      <c r="T182" s="183">
        <f t="shared" si="76"/>
        <v>0</v>
      </c>
      <c r="U182" s="183">
        <f t="shared" si="76"/>
        <v>289759.59356000001</v>
      </c>
      <c r="V182" s="183">
        <f t="shared" si="76"/>
        <v>0</v>
      </c>
      <c r="W182" s="183">
        <f t="shared" si="76"/>
        <v>0</v>
      </c>
      <c r="X182" s="183">
        <f t="shared" si="76"/>
        <v>0</v>
      </c>
      <c r="Y182" s="183">
        <f t="shared" si="76"/>
        <v>0</v>
      </c>
      <c r="Z182" s="183">
        <f t="shared" si="76"/>
        <v>0</v>
      </c>
      <c r="AA182" s="183">
        <f t="shared" si="76"/>
        <v>0</v>
      </c>
      <c r="AB182" s="183">
        <f t="shared" si="76"/>
        <v>0</v>
      </c>
      <c r="AC182" s="183">
        <f t="shared" si="76"/>
        <v>0</v>
      </c>
      <c r="AD182" s="183">
        <f t="shared" si="76"/>
        <v>0</v>
      </c>
      <c r="AE182" s="101">
        <f t="shared" si="75"/>
        <v>-1395.6254200001131</v>
      </c>
    </row>
    <row r="183" spans="1:31" s="8" customFormat="1" x14ac:dyDescent="0.2">
      <c r="A183" s="2"/>
      <c r="B183" s="29"/>
      <c r="C183" s="29"/>
      <c r="D183" s="29"/>
      <c r="E183" s="29"/>
      <c r="F183" s="29"/>
      <c r="G183" s="3"/>
      <c r="H183" s="3"/>
      <c r="I183" s="3"/>
      <c r="J183" s="64"/>
      <c r="K183" s="29"/>
      <c r="L183" s="3"/>
      <c r="M183" s="3"/>
      <c r="N183" s="30"/>
      <c r="O183" s="29"/>
      <c r="P183" s="3"/>
      <c r="Q183" s="30"/>
      <c r="R183" s="29"/>
      <c r="S183" s="3"/>
      <c r="T183" s="3"/>
      <c r="U183" s="3"/>
      <c r="V183" s="3"/>
      <c r="W183" s="153"/>
      <c r="X183" s="154"/>
      <c r="Y183" s="164"/>
      <c r="Z183" s="144"/>
      <c r="AA183" s="144"/>
      <c r="AB183" s="153"/>
      <c r="AC183" s="144"/>
      <c r="AD183" s="144"/>
      <c r="AE183" s="101">
        <f t="shared" si="75"/>
        <v>0</v>
      </c>
    </row>
    <row r="184" spans="1:31" s="8" customFormat="1" ht="13.5" thickBot="1" x14ac:dyDescent="0.25">
      <c r="A184" s="13" t="s">
        <v>6</v>
      </c>
      <c r="B184" s="48">
        <v>0</v>
      </c>
      <c r="C184" s="48">
        <v>484254.09123000002</v>
      </c>
      <c r="D184" s="48">
        <f t="shared" ref="D184:AD184" si="77">SUM(D182,D140,D138,D132,D129,D118,D67,D53,D37)</f>
        <v>460897.52007999999</v>
      </c>
      <c r="E184" s="48">
        <f t="shared" si="77"/>
        <v>382266.45500000002</v>
      </c>
      <c r="F184" s="48">
        <f t="shared" si="77"/>
        <v>199479.2</v>
      </c>
      <c r="G184" s="48">
        <f t="shared" si="77"/>
        <v>1028.5999999999999</v>
      </c>
      <c r="H184" s="48">
        <f t="shared" si="77"/>
        <v>590985.6399999999</v>
      </c>
      <c r="I184" s="48">
        <f t="shared" si="77"/>
        <v>704614.81655999995</v>
      </c>
      <c r="J184" s="48">
        <f t="shared" si="77"/>
        <v>657507.08000000007</v>
      </c>
      <c r="K184" s="48">
        <f t="shared" si="77"/>
        <v>0</v>
      </c>
      <c r="L184" s="48">
        <f t="shared" si="77"/>
        <v>1127444.0899999999</v>
      </c>
      <c r="M184" s="48">
        <f t="shared" si="77"/>
        <v>1412930.2629999998</v>
      </c>
      <c r="N184" s="48">
        <f t="shared" si="77"/>
        <v>550088.59499999997</v>
      </c>
      <c r="O184" s="48">
        <f t="shared" si="77"/>
        <v>990352</v>
      </c>
      <c r="P184" s="48">
        <f t="shared" si="77"/>
        <v>1385699.0490000001</v>
      </c>
      <c r="Q184" s="48">
        <f t="shared" si="77"/>
        <v>1641005.155</v>
      </c>
      <c r="R184" s="48">
        <f t="shared" si="77"/>
        <v>196320</v>
      </c>
      <c r="S184" s="48">
        <f t="shared" si="77"/>
        <v>0</v>
      </c>
      <c r="T184" s="48">
        <f t="shared" si="77"/>
        <v>1664315</v>
      </c>
      <c r="U184" s="48">
        <f t="shared" si="77"/>
        <v>1213559.59356</v>
      </c>
      <c r="V184" s="48">
        <f t="shared" si="77"/>
        <v>245400</v>
      </c>
      <c r="W184" s="48">
        <f t="shared" si="77"/>
        <v>1809180</v>
      </c>
      <c r="X184" s="173">
        <f t="shared" si="77"/>
        <v>1871065</v>
      </c>
      <c r="Y184" s="166">
        <f t="shared" si="77"/>
        <v>0</v>
      </c>
      <c r="Z184" s="48">
        <f t="shared" si="77"/>
        <v>1147600</v>
      </c>
      <c r="AA184" s="48">
        <f t="shared" si="77"/>
        <v>1493380</v>
      </c>
      <c r="AB184" s="48">
        <f t="shared" si="77"/>
        <v>0</v>
      </c>
      <c r="AC184" s="48">
        <f t="shared" si="77"/>
        <v>0</v>
      </c>
      <c r="AD184" s="48">
        <f t="shared" si="77"/>
        <v>1011250</v>
      </c>
      <c r="AE184" s="101">
        <f t="shared" si="75"/>
        <v>3968.8613100007642</v>
      </c>
    </row>
    <row r="185" spans="1:31" x14ac:dyDescent="0.2">
      <c r="W185" s="10"/>
      <c r="X185" s="10"/>
      <c r="Y185" s="155"/>
      <c r="Z185" s="10"/>
      <c r="AA185" s="10"/>
      <c r="AB185" s="155"/>
      <c r="AC185" s="10"/>
      <c r="AD185" s="10"/>
      <c r="AE185" s="101">
        <f t="shared" si="75"/>
        <v>0</v>
      </c>
    </row>
    <row r="186" spans="1:31" s="8" customFormat="1" x14ac:dyDescent="0.2">
      <c r="A186" s="4"/>
      <c r="B186" s="136"/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01"/>
    </row>
    <row r="187" spans="1:31" s="14" customFormat="1" x14ac:dyDescent="0.2">
      <c r="A187" s="4"/>
      <c r="B187" s="174">
        <v>2019</v>
      </c>
      <c r="C187" s="174">
        <v>2020</v>
      </c>
      <c r="D187" s="174">
        <v>2021</v>
      </c>
      <c r="E187" s="174">
        <v>2022</v>
      </c>
      <c r="F187" s="174">
        <v>2023</v>
      </c>
      <c r="G187" s="174">
        <v>2024</v>
      </c>
      <c r="H187" s="174" t="s">
        <v>146</v>
      </c>
    </row>
    <row r="188" spans="1:31" s="14" customFormat="1" ht="13.5" thickBot="1" x14ac:dyDescent="0.25">
      <c r="A188" s="76" t="s">
        <v>33</v>
      </c>
      <c r="B188" s="77"/>
      <c r="C188" s="77"/>
      <c r="D188" s="77">
        <f>F184</f>
        <v>199479.2</v>
      </c>
      <c r="E188" s="77"/>
      <c r="F188" s="77"/>
      <c r="G188" s="77"/>
      <c r="H188" s="77">
        <f>SUM(B188:G188)</f>
        <v>199479.2</v>
      </c>
    </row>
    <row r="189" spans="1:31" s="14" customFormat="1" ht="16.5" customHeight="1" thickBot="1" x14ac:dyDescent="0.25">
      <c r="A189" s="177" t="s">
        <v>152</v>
      </c>
      <c r="B189" s="114"/>
      <c r="C189" s="114"/>
      <c r="D189" s="114">
        <f>H184</f>
        <v>590985.6399999999</v>
      </c>
      <c r="E189" s="114">
        <f>L184</f>
        <v>1127444.0899999999</v>
      </c>
      <c r="F189" s="114">
        <f>O184</f>
        <v>990352</v>
      </c>
      <c r="G189" s="114">
        <f>R184</f>
        <v>196320</v>
      </c>
      <c r="H189" s="115">
        <f t="shared" ref="H189:H192" si="78">SUM(B189:G189)</f>
        <v>2905101.7299999995</v>
      </c>
      <c r="I189" s="88">
        <f>H189-3000000</f>
        <v>-94898.270000000484</v>
      </c>
    </row>
    <row r="190" spans="1:31" s="14" customFormat="1" x14ac:dyDescent="0.2">
      <c r="A190" s="4"/>
      <c r="B190" s="174"/>
      <c r="C190" s="174"/>
      <c r="D190" s="174"/>
      <c r="E190" s="174"/>
      <c r="F190" s="174"/>
      <c r="G190" s="174"/>
      <c r="H190" s="174"/>
    </row>
    <row r="191" spans="1:31" s="14" customFormat="1" ht="13.5" thickBot="1" x14ac:dyDescent="0.25">
      <c r="A191" s="175" t="s">
        <v>221</v>
      </c>
      <c r="B191" s="174">
        <v>2019</v>
      </c>
      <c r="C191" s="174">
        <v>2020</v>
      </c>
      <c r="D191" s="174">
        <v>2021</v>
      </c>
      <c r="E191" s="174">
        <v>2022</v>
      </c>
      <c r="F191" s="174">
        <v>2023</v>
      </c>
      <c r="G191" s="174">
        <v>2024</v>
      </c>
      <c r="H191" s="174" t="s">
        <v>146</v>
      </c>
    </row>
    <row r="192" spans="1:31" s="14" customFormat="1" x14ac:dyDescent="0.2">
      <c r="A192" s="78" t="s">
        <v>145</v>
      </c>
      <c r="B192" s="79">
        <f>C184</f>
        <v>484254.09123000002</v>
      </c>
      <c r="C192" s="79">
        <f>D184</f>
        <v>460897.52007999999</v>
      </c>
      <c r="D192" s="79">
        <f>G184+I184</f>
        <v>705643.41655999993</v>
      </c>
      <c r="E192" s="79">
        <f>M184</f>
        <v>1412930.2629999998</v>
      </c>
      <c r="F192" s="79">
        <f>P184</f>
        <v>1385699.0490000001</v>
      </c>
      <c r="G192" s="79">
        <f>S184</f>
        <v>0</v>
      </c>
      <c r="H192" s="80">
        <f t="shared" si="78"/>
        <v>4449424.3398700003</v>
      </c>
    </row>
    <row r="193" spans="1:10" s="14" customFormat="1" x14ac:dyDescent="0.2">
      <c r="A193" s="81" t="s">
        <v>141</v>
      </c>
      <c r="B193" s="10"/>
      <c r="C193" s="10">
        <f>E184</f>
        <v>382266.45500000002</v>
      </c>
      <c r="D193" s="10">
        <f>J184</f>
        <v>657507.08000000007</v>
      </c>
      <c r="E193" s="10">
        <f>N184</f>
        <v>550088.59499999997</v>
      </c>
      <c r="F193" s="10">
        <f>Q184</f>
        <v>1641005.155</v>
      </c>
      <c r="G193" s="10">
        <f>U184</f>
        <v>1213559.59356</v>
      </c>
      <c r="H193" s="82">
        <f>SUM(B193:G193)</f>
        <v>4444426.8785600001</v>
      </c>
      <c r="I193" s="14">
        <f>H192-H193</f>
        <v>4997.4613100001588</v>
      </c>
    </row>
    <row r="194" spans="1:10" s="14" customFormat="1" ht="13.5" thickBot="1" x14ac:dyDescent="0.25">
      <c r="A194" s="118" t="s">
        <v>150</v>
      </c>
      <c r="B194" s="84"/>
      <c r="C194" s="85">
        <f>B192+C192-C193</f>
        <v>562885.15630999999</v>
      </c>
      <c r="D194" s="85">
        <f>C194+D192-D193</f>
        <v>611021.49286999973</v>
      </c>
      <c r="E194" s="85">
        <f>D194+E192-E193</f>
        <v>1473863.1608699996</v>
      </c>
      <c r="F194" s="85">
        <f t="shared" ref="F194:G194" si="79">E194+F192-F193</f>
        <v>1218557.0548699994</v>
      </c>
      <c r="G194" s="116">
        <f t="shared" si="79"/>
        <v>4997.4613099994604</v>
      </c>
      <c r="H194" s="86"/>
    </row>
    <row r="196" spans="1:10" ht="13.5" thickBot="1" x14ac:dyDescent="0.25">
      <c r="A196" s="176" t="s">
        <v>203</v>
      </c>
      <c r="B196" s="174">
        <v>2019</v>
      </c>
      <c r="C196" s="174">
        <v>2020</v>
      </c>
      <c r="D196" s="174">
        <v>2021</v>
      </c>
      <c r="E196" s="174">
        <v>2022</v>
      </c>
      <c r="F196" s="174">
        <v>2023</v>
      </c>
      <c r="G196" s="174">
        <v>2024</v>
      </c>
      <c r="H196" s="174">
        <v>2025</v>
      </c>
      <c r="I196" s="174">
        <v>2026</v>
      </c>
      <c r="J196" s="174">
        <v>2027</v>
      </c>
    </row>
    <row r="197" spans="1:10" x14ac:dyDescent="0.2">
      <c r="A197" s="78" t="s">
        <v>215</v>
      </c>
      <c r="B197" s="79">
        <f>C188</f>
        <v>0</v>
      </c>
      <c r="C197" s="79">
        <v>0</v>
      </c>
      <c r="D197" s="79">
        <v>0</v>
      </c>
      <c r="E197" s="79">
        <v>0</v>
      </c>
      <c r="F197" s="79">
        <v>0</v>
      </c>
      <c r="G197" s="79">
        <f>T184</f>
        <v>1664315</v>
      </c>
      <c r="H197" s="79">
        <f>W184</f>
        <v>1809180</v>
      </c>
      <c r="I197" s="79">
        <f>Z184</f>
        <v>1147600</v>
      </c>
      <c r="J197" s="79">
        <f>V188</f>
        <v>0</v>
      </c>
    </row>
    <row r="198" spans="1:10" x14ac:dyDescent="0.2">
      <c r="A198" s="81" t="s">
        <v>216</v>
      </c>
      <c r="B198" s="10"/>
      <c r="C198" s="10">
        <f>E188</f>
        <v>0</v>
      </c>
      <c r="D198" s="10">
        <v>0</v>
      </c>
      <c r="E198" s="10">
        <v>0</v>
      </c>
      <c r="F198" s="10">
        <v>0</v>
      </c>
      <c r="G198" s="10">
        <f>V184</f>
        <v>245400</v>
      </c>
      <c r="H198" s="10">
        <f>X184</f>
        <v>1871065</v>
      </c>
      <c r="I198" s="10">
        <f>AA184</f>
        <v>1493380</v>
      </c>
      <c r="J198" s="10">
        <f>AD184</f>
        <v>1011250</v>
      </c>
    </row>
    <row r="199" spans="1:10" ht="13.5" thickBot="1" x14ac:dyDescent="0.25">
      <c r="A199" s="118" t="s">
        <v>217</v>
      </c>
      <c r="B199" s="84"/>
      <c r="C199" s="85">
        <f>B197+C197-C198</f>
        <v>0</v>
      </c>
      <c r="D199" s="85">
        <f>C199+D197-D198</f>
        <v>0</v>
      </c>
      <c r="E199" s="85">
        <f>D199+E197-E198</f>
        <v>0</v>
      </c>
      <c r="F199" s="85">
        <f t="shared" ref="F199" si="80">E199+F197-F198</f>
        <v>0</v>
      </c>
      <c r="G199" s="85">
        <f t="shared" ref="G199" si="81">F199+G197-G198</f>
        <v>1418915</v>
      </c>
      <c r="H199" s="85">
        <f t="shared" ref="H199" si="82">G199+H197-H198</f>
        <v>1357030</v>
      </c>
      <c r="I199" s="85">
        <f t="shared" ref="I199" si="83">H199+I197-I198</f>
        <v>1011250</v>
      </c>
      <c r="J199" s="85">
        <f t="shared" ref="J199" si="84">I199+J197-J198</f>
        <v>0</v>
      </c>
    </row>
  </sheetData>
  <autoFilter ref="A1:U132" xr:uid="{4ABA3BC3-8023-4B4C-A20D-DE4822BA870B}"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8">
    <mergeCell ref="Y1:AA1"/>
    <mergeCell ref="AB1:AD1"/>
    <mergeCell ref="A1:A2"/>
    <mergeCell ref="F1:J1"/>
    <mergeCell ref="K1:N1"/>
    <mergeCell ref="O1:Q1"/>
    <mergeCell ref="R1:U1"/>
    <mergeCell ref="W1:X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62F63-3854-4B2C-93A5-5EED85728957}">
  <sheetPr>
    <tabColor rgb="FFFF0000"/>
  </sheetPr>
  <dimension ref="A1:U179"/>
  <sheetViews>
    <sheetView workbookViewId="0">
      <selection sqref="A1:A2"/>
    </sheetView>
  </sheetViews>
  <sheetFormatPr defaultColWidth="9.140625" defaultRowHeight="12.75" x14ac:dyDescent="0.2"/>
  <cols>
    <col min="1" max="1" width="52.42578125" style="4" customWidth="1"/>
    <col min="2" max="21" width="14.7109375" style="14" customWidth="1"/>
    <col min="22" max="16384" width="9.140625" style="4"/>
  </cols>
  <sheetData>
    <row r="1" spans="1:21" ht="21" customHeight="1" x14ac:dyDescent="0.2">
      <c r="A1" s="372" t="s">
        <v>0</v>
      </c>
      <c r="B1" s="71">
        <v>2018</v>
      </c>
      <c r="C1" s="71" t="s">
        <v>149</v>
      </c>
      <c r="D1" s="71" t="s">
        <v>147</v>
      </c>
      <c r="E1" s="71" t="s">
        <v>148</v>
      </c>
      <c r="F1" s="374" t="s">
        <v>113</v>
      </c>
      <c r="G1" s="368"/>
      <c r="H1" s="368"/>
      <c r="I1" s="368"/>
      <c r="J1" s="375"/>
      <c r="K1" s="367" t="s">
        <v>114</v>
      </c>
      <c r="L1" s="370"/>
      <c r="M1" s="371"/>
      <c r="N1" s="369"/>
      <c r="O1" s="367" t="s">
        <v>115</v>
      </c>
      <c r="P1" s="368"/>
      <c r="Q1" s="369"/>
      <c r="R1" s="367" t="s">
        <v>116</v>
      </c>
      <c r="S1" s="368"/>
      <c r="T1" s="368"/>
      <c r="U1" s="369"/>
    </row>
    <row r="2" spans="1:21" ht="25.5" x14ac:dyDescent="0.2">
      <c r="A2" s="373"/>
      <c r="B2" s="21"/>
      <c r="C2" s="21"/>
      <c r="D2" s="21"/>
      <c r="E2" s="21"/>
      <c r="F2" s="21" t="s">
        <v>143</v>
      </c>
      <c r="G2" s="75" t="s">
        <v>36</v>
      </c>
      <c r="H2" s="5" t="s">
        <v>152</v>
      </c>
      <c r="I2" s="57" t="s">
        <v>139</v>
      </c>
      <c r="J2" s="22" t="s">
        <v>140</v>
      </c>
      <c r="K2" s="21" t="s">
        <v>143</v>
      </c>
      <c r="L2" s="5" t="s">
        <v>152</v>
      </c>
      <c r="M2" s="57" t="s">
        <v>139</v>
      </c>
      <c r="N2" s="22" t="s">
        <v>140</v>
      </c>
      <c r="O2" s="5" t="s">
        <v>152</v>
      </c>
      <c r="P2" s="57" t="s">
        <v>139</v>
      </c>
      <c r="Q2" s="22" t="s">
        <v>140</v>
      </c>
      <c r="R2" s="5" t="s">
        <v>152</v>
      </c>
      <c r="S2" s="75" t="s">
        <v>36</v>
      </c>
      <c r="T2" s="57" t="s">
        <v>139</v>
      </c>
      <c r="U2" s="22" t="s">
        <v>140</v>
      </c>
    </row>
    <row r="3" spans="1:21" s="37" customFormat="1" x14ac:dyDescent="0.2">
      <c r="A3" s="38" t="s">
        <v>94</v>
      </c>
      <c r="B3" s="43"/>
      <c r="C3" s="43"/>
      <c r="D3" s="43"/>
      <c r="E3" s="43"/>
      <c r="F3" s="43"/>
      <c r="G3" s="44"/>
      <c r="H3" s="45"/>
      <c r="I3" s="58">
        <v>61500</v>
      </c>
      <c r="J3" s="46"/>
      <c r="K3" s="43"/>
      <c r="L3" s="45"/>
      <c r="M3" s="45">
        <v>12000</v>
      </c>
      <c r="N3" s="46">
        <v>73500</v>
      </c>
      <c r="O3" s="43"/>
      <c r="P3" s="45"/>
      <c r="Q3" s="46"/>
      <c r="R3" s="43"/>
      <c r="S3" s="55"/>
      <c r="T3" s="55"/>
      <c r="U3" s="46"/>
    </row>
    <row r="4" spans="1:21" s="37" customFormat="1" x14ac:dyDescent="0.2">
      <c r="A4" s="38" t="s">
        <v>95</v>
      </c>
      <c r="B4" s="43"/>
      <c r="C4" s="43"/>
      <c r="D4" s="43"/>
      <c r="E4" s="43"/>
      <c r="F4" s="43"/>
      <c r="G4" s="44"/>
      <c r="H4" s="45"/>
      <c r="I4" s="58"/>
      <c r="J4" s="46"/>
      <c r="K4" s="43"/>
      <c r="L4" s="45"/>
      <c r="M4" s="45">
        <v>41615</v>
      </c>
      <c r="N4" s="46"/>
      <c r="O4" s="43"/>
      <c r="P4" s="45">
        <v>125000</v>
      </c>
      <c r="Q4" s="46">
        <v>41000</v>
      </c>
      <c r="R4" s="43"/>
      <c r="S4" s="55"/>
      <c r="T4" s="55"/>
      <c r="U4" s="46">
        <v>125615</v>
      </c>
    </row>
    <row r="5" spans="1:21" s="37" customFormat="1" ht="25.5" x14ac:dyDescent="0.2">
      <c r="A5" s="38" t="s">
        <v>96</v>
      </c>
      <c r="B5" s="43"/>
      <c r="C5" s="43"/>
      <c r="D5" s="43"/>
      <c r="E5" s="43"/>
      <c r="F5" s="43"/>
      <c r="G5" s="44"/>
      <c r="H5" s="45"/>
      <c r="I5" s="58">
        <v>61250</v>
      </c>
      <c r="J5" s="46"/>
      <c r="K5" s="43"/>
      <c r="L5" s="45"/>
      <c r="M5" s="45"/>
      <c r="N5" s="46">
        <v>61250</v>
      </c>
      <c r="O5" s="43"/>
      <c r="P5" s="45"/>
      <c r="Q5" s="46"/>
      <c r="R5" s="43"/>
      <c r="S5" s="55"/>
      <c r="T5" s="55"/>
      <c r="U5" s="46"/>
    </row>
    <row r="6" spans="1:21" s="37" customFormat="1" x14ac:dyDescent="0.2">
      <c r="A6" s="38" t="s">
        <v>97</v>
      </c>
      <c r="B6" s="43"/>
      <c r="C6" s="43"/>
      <c r="D6" s="43"/>
      <c r="E6" s="43">
        <v>49812.41</v>
      </c>
      <c r="F6" s="43"/>
      <c r="G6" s="44"/>
      <c r="H6" s="45"/>
      <c r="I6" s="58"/>
      <c r="J6" s="46"/>
      <c r="K6" s="43"/>
      <c r="L6" s="45"/>
      <c r="M6" s="45"/>
      <c r="N6" s="46"/>
      <c r="O6" s="43"/>
      <c r="P6" s="45"/>
      <c r="Q6" s="46"/>
      <c r="R6" s="43"/>
      <c r="S6" s="55"/>
      <c r="T6" s="55"/>
      <c r="U6" s="46"/>
    </row>
    <row r="7" spans="1:21" s="37" customFormat="1" x14ac:dyDescent="0.2">
      <c r="A7" s="39" t="s">
        <v>37</v>
      </c>
      <c r="B7" s="43"/>
      <c r="C7" s="43"/>
      <c r="D7" s="43">
        <v>26008.13</v>
      </c>
      <c r="E7" s="43"/>
      <c r="F7" s="43"/>
      <c r="G7" s="44"/>
      <c r="H7" s="45"/>
      <c r="I7" s="58"/>
      <c r="J7" s="46">
        <v>26375</v>
      </c>
      <c r="K7" s="43"/>
      <c r="L7" s="45"/>
      <c r="M7" s="45"/>
      <c r="N7" s="46"/>
      <c r="O7" s="43"/>
      <c r="P7" s="45"/>
      <c r="Q7" s="46"/>
      <c r="R7" s="43"/>
      <c r="S7" s="55"/>
      <c r="T7" s="55"/>
      <c r="U7" s="46"/>
    </row>
    <row r="8" spans="1:21" s="37" customFormat="1" x14ac:dyDescent="0.2">
      <c r="A8" s="39" t="s">
        <v>39</v>
      </c>
      <c r="B8" s="43"/>
      <c r="C8" s="43"/>
      <c r="D8" s="43"/>
      <c r="E8" s="43">
        <v>28692.21</v>
      </c>
      <c r="F8" s="43"/>
      <c r="G8" s="44"/>
      <c r="H8" s="45"/>
      <c r="I8" s="58"/>
      <c r="J8" s="46"/>
      <c r="K8" s="43"/>
      <c r="L8" s="45"/>
      <c r="M8" s="45"/>
      <c r="N8" s="46"/>
      <c r="O8" s="43"/>
      <c r="P8" s="45"/>
      <c r="Q8" s="46"/>
      <c r="R8" s="43"/>
      <c r="S8" s="55"/>
      <c r="T8" s="55"/>
      <c r="U8" s="46"/>
    </row>
    <row r="9" spans="1:21" s="37" customFormat="1" x14ac:dyDescent="0.2">
      <c r="A9" s="39" t="s">
        <v>142</v>
      </c>
      <c r="B9" s="43"/>
      <c r="C9" s="43"/>
      <c r="D9" s="43">
        <v>35376.769999999997</v>
      </c>
      <c r="E9" s="43"/>
      <c r="F9" s="43"/>
      <c r="G9" s="44"/>
      <c r="H9" s="45"/>
      <c r="I9" s="58"/>
      <c r="J9" s="46">
        <v>128368</v>
      </c>
      <c r="K9" s="43"/>
      <c r="L9" s="45"/>
      <c r="M9" s="45"/>
      <c r="N9" s="46"/>
      <c r="O9" s="43"/>
      <c r="P9" s="45"/>
      <c r="Q9" s="46"/>
      <c r="R9" s="43"/>
      <c r="S9" s="55"/>
      <c r="T9" s="55"/>
      <c r="U9" s="46"/>
    </row>
    <row r="10" spans="1:21" s="37" customFormat="1" ht="25.5" x14ac:dyDescent="0.2">
      <c r="A10" s="39" t="s">
        <v>38</v>
      </c>
      <c r="B10" s="43"/>
      <c r="C10" s="43"/>
      <c r="D10" s="43">
        <v>33997.089999999997</v>
      </c>
      <c r="E10" s="43"/>
      <c r="F10" s="43"/>
      <c r="G10" s="44"/>
      <c r="H10" s="45"/>
      <c r="I10" s="58"/>
      <c r="J10" s="46">
        <v>68490.75</v>
      </c>
      <c r="K10" s="43"/>
      <c r="L10" s="45"/>
      <c r="M10" s="45"/>
      <c r="N10" s="46"/>
      <c r="O10" s="43"/>
      <c r="P10" s="45"/>
      <c r="Q10" s="46"/>
      <c r="R10" s="43"/>
      <c r="S10" s="55"/>
      <c r="T10" s="55"/>
      <c r="U10" s="46"/>
    </row>
    <row r="11" spans="1:21" s="37" customFormat="1" ht="25.5" x14ac:dyDescent="0.2">
      <c r="A11" s="39" t="s">
        <v>40</v>
      </c>
      <c r="B11" s="43"/>
      <c r="C11" s="43"/>
      <c r="D11" s="43">
        <v>20356.8</v>
      </c>
      <c r="E11" s="43">
        <v>82232.67</v>
      </c>
      <c r="F11" s="43"/>
      <c r="G11" s="44"/>
      <c r="H11" s="45"/>
      <c r="I11" s="58"/>
      <c r="J11" s="46"/>
      <c r="K11" s="43"/>
      <c r="L11" s="45"/>
      <c r="M11" s="45"/>
      <c r="N11" s="46"/>
      <c r="O11" s="43"/>
      <c r="P11" s="45"/>
      <c r="Q11" s="46"/>
      <c r="R11" s="43"/>
      <c r="S11" s="55"/>
      <c r="T11" s="55"/>
      <c r="U11" s="46"/>
    </row>
    <row r="12" spans="1:21" s="37" customFormat="1" ht="25.5" x14ac:dyDescent="0.2">
      <c r="A12" s="39" t="s">
        <v>41</v>
      </c>
      <c r="B12" s="43"/>
      <c r="C12" s="43"/>
      <c r="D12" s="43">
        <v>190.46</v>
      </c>
      <c r="E12" s="43"/>
      <c r="F12" s="43"/>
      <c r="G12" s="44"/>
      <c r="H12" s="45"/>
      <c r="I12" s="58">
        <f>40720+2059.53</f>
        <v>42779.53</v>
      </c>
      <c r="J12" s="46">
        <v>42970</v>
      </c>
      <c r="K12" s="43"/>
      <c r="L12" s="45"/>
      <c r="M12" s="45"/>
      <c r="N12" s="46"/>
      <c r="O12" s="43"/>
      <c r="P12" s="45"/>
      <c r="Q12" s="46"/>
      <c r="R12" s="43"/>
      <c r="S12" s="55"/>
      <c r="T12" s="55"/>
      <c r="U12" s="46"/>
    </row>
    <row r="13" spans="1:21" s="37" customFormat="1" ht="25.5" x14ac:dyDescent="0.2">
      <c r="A13" s="39" t="s">
        <v>43</v>
      </c>
      <c r="B13" s="43"/>
      <c r="C13" s="43"/>
      <c r="D13" s="43"/>
      <c r="E13" s="43"/>
      <c r="F13" s="43"/>
      <c r="G13" s="44"/>
      <c r="H13" s="45"/>
      <c r="I13" s="58">
        <v>73420</v>
      </c>
      <c r="J13" s="46"/>
      <c r="K13" s="43"/>
      <c r="L13" s="45"/>
      <c r="M13" s="45"/>
      <c r="N13" s="46">
        <v>73420</v>
      </c>
      <c r="O13" s="43"/>
      <c r="P13" s="45"/>
      <c r="Q13" s="46"/>
      <c r="R13" s="43"/>
      <c r="S13" s="55"/>
      <c r="T13" s="55"/>
      <c r="U13" s="46"/>
    </row>
    <row r="14" spans="1:21" s="37" customFormat="1" ht="25.5" x14ac:dyDescent="0.2">
      <c r="A14" s="39" t="s">
        <v>42</v>
      </c>
      <c r="B14" s="43"/>
      <c r="C14" s="43"/>
      <c r="D14" s="43"/>
      <c r="E14" s="43">
        <v>46106.89</v>
      </c>
      <c r="F14" s="43"/>
      <c r="G14" s="44"/>
      <c r="H14" s="45"/>
      <c r="I14" s="58"/>
      <c r="J14" s="46"/>
      <c r="K14" s="43"/>
      <c r="L14" s="45"/>
      <c r="M14" s="45"/>
      <c r="N14" s="46"/>
      <c r="O14" s="43"/>
      <c r="P14" s="45"/>
      <c r="Q14" s="46"/>
      <c r="R14" s="43"/>
      <c r="S14" s="55"/>
      <c r="T14" s="55"/>
      <c r="U14" s="46"/>
    </row>
    <row r="15" spans="1:21" s="37" customFormat="1" x14ac:dyDescent="0.2">
      <c r="A15" s="39" t="s">
        <v>44</v>
      </c>
      <c r="B15" s="43"/>
      <c r="C15" s="43"/>
      <c r="D15" s="43"/>
      <c r="E15" s="43"/>
      <c r="F15" s="43"/>
      <c r="G15" s="44"/>
      <c r="H15" s="45"/>
      <c r="I15" s="58">
        <v>39283</v>
      </c>
      <c r="J15" s="46">
        <v>39283</v>
      </c>
      <c r="K15" s="43"/>
      <c r="L15" s="45"/>
      <c r="M15" s="45"/>
      <c r="N15" s="46"/>
      <c r="O15" s="43"/>
      <c r="P15" s="45"/>
      <c r="Q15" s="46"/>
      <c r="R15" s="43"/>
      <c r="S15" s="55"/>
      <c r="T15" s="55"/>
      <c r="U15" s="46"/>
    </row>
    <row r="16" spans="1:21" s="37" customFormat="1" x14ac:dyDescent="0.2">
      <c r="A16" s="39" t="s">
        <v>45</v>
      </c>
      <c r="B16" s="43"/>
      <c r="C16" s="43"/>
      <c r="D16" s="43">
        <v>27498.560000000001</v>
      </c>
      <c r="E16" s="43"/>
      <c r="F16" s="43"/>
      <c r="G16" s="44"/>
      <c r="H16" s="45"/>
      <c r="I16" s="58">
        <v>1265.94</v>
      </c>
      <c r="J16" s="46">
        <v>28764.5</v>
      </c>
      <c r="K16" s="43"/>
      <c r="L16" s="45"/>
      <c r="M16" s="45"/>
      <c r="N16" s="46"/>
      <c r="O16" s="43"/>
      <c r="P16" s="45"/>
      <c r="Q16" s="46"/>
      <c r="R16" s="43"/>
      <c r="S16" s="55"/>
      <c r="T16" s="55"/>
      <c r="U16" s="46"/>
    </row>
    <row r="17" spans="1:21" s="37" customFormat="1" ht="25.5" x14ac:dyDescent="0.2">
      <c r="A17" s="39" t="s">
        <v>46</v>
      </c>
      <c r="B17" s="43"/>
      <c r="C17" s="43"/>
      <c r="D17" s="43"/>
      <c r="E17" s="43"/>
      <c r="F17" s="43"/>
      <c r="G17" s="44"/>
      <c r="H17" s="45"/>
      <c r="I17" s="58"/>
      <c r="J17" s="46"/>
      <c r="K17" s="43"/>
      <c r="L17" s="45"/>
      <c r="M17" s="45"/>
      <c r="N17" s="46"/>
      <c r="O17" s="43"/>
      <c r="P17" s="45">
        <v>63270</v>
      </c>
      <c r="Q17" s="46">
        <v>63270</v>
      </c>
      <c r="R17" s="43"/>
      <c r="S17" s="55"/>
      <c r="T17" s="55"/>
      <c r="U17" s="46"/>
    </row>
    <row r="18" spans="1:21" s="37" customFormat="1" x14ac:dyDescent="0.2">
      <c r="A18" s="39" t="s">
        <v>47</v>
      </c>
      <c r="B18" s="43"/>
      <c r="C18" s="43"/>
      <c r="D18" s="43"/>
      <c r="E18" s="43"/>
      <c r="F18" s="43"/>
      <c r="G18" s="44"/>
      <c r="H18" s="45"/>
      <c r="I18" s="58">
        <v>60100</v>
      </c>
      <c r="J18" s="46"/>
      <c r="K18" s="43"/>
      <c r="L18" s="45"/>
      <c r="M18" s="45">
        <v>35178</v>
      </c>
      <c r="N18" s="46"/>
      <c r="O18" s="43"/>
      <c r="P18" s="45"/>
      <c r="Q18" s="46">
        <v>95278</v>
      </c>
      <c r="R18" s="43"/>
      <c r="S18" s="55"/>
      <c r="T18" s="55"/>
      <c r="U18" s="46"/>
    </row>
    <row r="19" spans="1:21" s="37" customFormat="1" x14ac:dyDescent="0.2">
      <c r="A19" s="39" t="s">
        <v>48</v>
      </c>
      <c r="B19" s="43"/>
      <c r="C19" s="43"/>
      <c r="D19" s="43"/>
      <c r="E19" s="43"/>
      <c r="F19" s="43"/>
      <c r="G19" s="44"/>
      <c r="H19" s="45"/>
      <c r="I19" s="58"/>
      <c r="J19" s="46"/>
      <c r="K19" s="43"/>
      <c r="L19" s="45"/>
      <c r="M19" s="45">
        <v>34440</v>
      </c>
      <c r="N19" s="46">
        <v>34440</v>
      </c>
      <c r="O19" s="43"/>
      <c r="P19" s="45"/>
      <c r="Q19" s="46"/>
      <c r="R19" s="43"/>
      <c r="S19" s="55"/>
      <c r="T19" s="55"/>
      <c r="U19" s="46"/>
    </row>
    <row r="20" spans="1:21" s="37" customFormat="1" ht="25.5" x14ac:dyDescent="0.2">
      <c r="A20" s="39" t="s">
        <v>49</v>
      </c>
      <c r="B20" s="43"/>
      <c r="C20" s="43"/>
      <c r="D20" s="43"/>
      <c r="E20" s="43"/>
      <c r="F20" s="43"/>
      <c r="G20" s="44"/>
      <c r="H20" s="45"/>
      <c r="I20" s="58"/>
      <c r="J20" s="46"/>
      <c r="K20" s="43"/>
      <c r="L20" s="45"/>
      <c r="M20" s="45"/>
      <c r="N20" s="46"/>
      <c r="O20" s="43"/>
      <c r="P20" s="45">
        <v>45465</v>
      </c>
      <c r="Q20" s="46">
        <v>45465</v>
      </c>
      <c r="R20" s="43"/>
      <c r="S20" s="55"/>
      <c r="T20" s="55"/>
      <c r="U20" s="46"/>
    </row>
    <row r="21" spans="1:21" s="37" customFormat="1" ht="38.25" x14ac:dyDescent="0.2">
      <c r="A21" s="39" t="s">
        <v>50</v>
      </c>
      <c r="B21" s="43"/>
      <c r="C21" s="43"/>
      <c r="D21" s="43"/>
      <c r="E21" s="43"/>
      <c r="F21" s="43"/>
      <c r="G21" s="44"/>
      <c r="H21" s="45"/>
      <c r="I21" s="58"/>
      <c r="J21" s="46"/>
      <c r="K21" s="43"/>
      <c r="L21" s="45"/>
      <c r="M21" s="45"/>
      <c r="N21" s="46"/>
      <c r="O21" s="43"/>
      <c r="P21" s="45">
        <v>121800</v>
      </c>
      <c r="Q21" s="46">
        <v>121800</v>
      </c>
      <c r="R21" s="43"/>
      <c r="S21" s="55"/>
      <c r="T21" s="55"/>
      <c r="U21" s="46"/>
    </row>
    <row r="22" spans="1:21" s="37" customFormat="1" ht="25.5" x14ac:dyDescent="0.2">
      <c r="A22" s="39" t="s">
        <v>51</v>
      </c>
      <c r="B22" s="43"/>
      <c r="C22" s="43"/>
      <c r="D22" s="43"/>
      <c r="E22" s="43"/>
      <c r="F22" s="43"/>
      <c r="G22" s="44"/>
      <c r="H22" s="45"/>
      <c r="I22" s="58"/>
      <c r="J22" s="46"/>
      <c r="K22" s="43"/>
      <c r="L22" s="45"/>
      <c r="M22" s="45"/>
      <c r="N22" s="46"/>
      <c r="O22" s="43"/>
      <c r="P22" s="45">
        <v>45163</v>
      </c>
      <c r="Q22" s="46">
        <v>45163</v>
      </c>
      <c r="R22" s="43"/>
      <c r="S22" s="55"/>
      <c r="T22" s="55"/>
      <c r="U22" s="46"/>
    </row>
    <row r="23" spans="1:21" s="37" customFormat="1" ht="25.5" x14ac:dyDescent="0.2">
      <c r="A23" s="39" t="s">
        <v>52</v>
      </c>
      <c r="B23" s="43"/>
      <c r="C23" s="43"/>
      <c r="D23" s="43"/>
      <c r="E23" s="43"/>
      <c r="F23" s="43"/>
      <c r="G23" s="44"/>
      <c r="H23" s="45"/>
      <c r="I23" s="58">
        <v>0</v>
      </c>
      <c r="J23" s="46"/>
      <c r="K23" s="43"/>
      <c r="L23" s="45"/>
      <c r="M23" s="45"/>
      <c r="N23" s="46"/>
      <c r="O23" s="43"/>
      <c r="P23" s="45">
        <v>14720</v>
      </c>
      <c r="Q23" s="46">
        <v>14720</v>
      </c>
      <c r="R23" s="43"/>
      <c r="S23" s="55"/>
      <c r="T23" s="55"/>
      <c r="U23" s="46"/>
    </row>
    <row r="24" spans="1:21" s="37" customFormat="1" ht="25.5" x14ac:dyDescent="0.2">
      <c r="A24" s="39" t="s">
        <v>53</v>
      </c>
      <c r="B24" s="43"/>
      <c r="C24" s="43"/>
      <c r="D24" s="43"/>
      <c r="E24" s="43"/>
      <c r="F24" s="43"/>
      <c r="G24" s="44"/>
      <c r="H24" s="45"/>
      <c r="I24" s="58"/>
      <c r="J24" s="46"/>
      <c r="K24" s="43"/>
      <c r="L24" s="45"/>
      <c r="M24" s="45"/>
      <c r="N24" s="46"/>
      <c r="O24" s="43"/>
      <c r="P24" s="45">
        <v>13293</v>
      </c>
      <c r="Q24" s="46">
        <v>13293</v>
      </c>
      <c r="R24" s="43"/>
      <c r="S24" s="55"/>
      <c r="T24" s="55"/>
      <c r="U24" s="46"/>
    </row>
    <row r="25" spans="1:21" s="37" customFormat="1" ht="25.5" x14ac:dyDescent="0.2">
      <c r="A25" s="39" t="s">
        <v>54</v>
      </c>
      <c r="B25" s="43"/>
      <c r="C25" s="43"/>
      <c r="D25" s="43"/>
      <c r="E25" s="43"/>
      <c r="F25" s="43"/>
      <c r="G25" s="44"/>
      <c r="H25" s="45"/>
      <c r="I25" s="58"/>
      <c r="J25" s="46"/>
      <c r="K25" s="43"/>
      <c r="L25" s="45"/>
      <c r="M25" s="45">
        <v>87137</v>
      </c>
      <c r="N25" s="46"/>
      <c r="O25" s="43"/>
      <c r="P25" s="45">
        <v>18000</v>
      </c>
      <c r="Q25" s="46">
        <v>105137</v>
      </c>
      <c r="R25" s="43"/>
      <c r="S25" s="55"/>
      <c r="T25" s="55"/>
      <c r="U25" s="46"/>
    </row>
    <row r="26" spans="1:21" s="37" customFormat="1" ht="25.5" x14ac:dyDescent="0.2">
      <c r="A26" s="39" t="s">
        <v>55</v>
      </c>
      <c r="B26" s="43"/>
      <c r="C26" s="43"/>
      <c r="D26" s="43"/>
      <c r="E26" s="43"/>
      <c r="F26" s="43"/>
      <c r="G26" s="44"/>
      <c r="H26" s="45"/>
      <c r="I26" s="58">
        <v>59400</v>
      </c>
      <c r="J26" s="46"/>
      <c r="K26" s="43"/>
      <c r="L26" s="45"/>
      <c r="M26" s="45">
        <v>52590</v>
      </c>
      <c r="N26" s="46"/>
      <c r="O26" s="43"/>
      <c r="P26" s="45"/>
      <c r="Q26" s="46">
        <v>111990</v>
      </c>
      <c r="R26" s="43"/>
      <c r="S26" s="55"/>
      <c r="T26" s="55"/>
      <c r="U26" s="46"/>
    </row>
    <row r="27" spans="1:21" s="37" customFormat="1" ht="25.5" x14ac:dyDescent="0.2">
      <c r="A27" s="39" t="s">
        <v>56</v>
      </c>
      <c r="B27" s="43"/>
      <c r="C27" s="43"/>
      <c r="D27" s="43"/>
      <c r="E27" s="43"/>
      <c r="F27" s="43"/>
      <c r="G27" s="44"/>
      <c r="H27" s="45"/>
      <c r="I27" s="58"/>
      <c r="J27" s="46"/>
      <c r="K27" s="43"/>
      <c r="L27" s="45"/>
      <c r="M27" s="45"/>
      <c r="N27" s="46"/>
      <c r="O27" s="43"/>
      <c r="P27" s="45">
        <v>25800</v>
      </c>
      <c r="Q27" s="46">
        <v>25800</v>
      </c>
      <c r="R27" s="43"/>
      <c r="S27" s="55"/>
      <c r="T27" s="55"/>
      <c r="U27" s="46"/>
    </row>
    <row r="28" spans="1:21" s="37" customFormat="1" x14ac:dyDescent="0.2">
      <c r="A28" s="39" t="s">
        <v>57</v>
      </c>
      <c r="B28" s="43"/>
      <c r="C28" s="43"/>
      <c r="D28" s="43"/>
      <c r="E28" s="43"/>
      <c r="F28" s="43"/>
      <c r="G28" s="44"/>
      <c r="H28" s="45"/>
      <c r="I28" s="58">
        <v>23100</v>
      </c>
      <c r="J28" s="46"/>
      <c r="K28" s="43"/>
      <c r="L28" s="45"/>
      <c r="M28" s="45">
        <v>71981</v>
      </c>
      <c r="N28" s="46"/>
      <c r="O28" s="43"/>
      <c r="P28" s="45">
        <v>4500</v>
      </c>
      <c r="Q28" s="46">
        <v>99581</v>
      </c>
      <c r="R28" s="43"/>
      <c r="S28" s="55"/>
      <c r="T28" s="55"/>
      <c r="U28" s="46"/>
    </row>
    <row r="29" spans="1:21" s="37" customFormat="1" x14ac:dyDescent="0.2">
      <c r="A29" s="39" t="s">
        <v>58</v>
      </c>
      <c r="B29" s="43"/>
      <c r="C29" s="43"/>
      <c r="D29" s="43"/>
      <c r="E29" s="43"/>
      <c r="F29" s="43"/>
      <c r="G29" s="44"/>
      <c r="H29" s="45"/>
      <c r="I29" s="58">
        <v>3930</v>
      </c>
      <c r="J29" s="46">
        <v>3930</v>
      </c>
      <c r="K29" s="43"/>
      <c r="L29" s="45"/>
      <c r="M29" s="45"/>
      <c r="N29" s="46"/>
      <c r="O29" s="43"/>
      <c r="P29" s="45"/>
      <c r="Q29" s="46"/>
      <c r="R29" s="43"/>
      <c r="S29" s="55"/>
      <c r="T29" s="55"/>
      <c r="U29" s="46"/>
    </row>
    <row r="30" spans="1:21" s="37" customFormat="1" x14ac:dyDescent="0.2">
      <c r="A30" s="39" t="s">
        <v>59</v>
      </c>
      <c r="B30" s="43"/>
      <c r="C30" s="43"/>
      <c r="D30" s="43"/>
      <c r="E30" s="43"/>
      <c r="F30" s="43"/>
      <c r="G30" s="44"/>
      <c r="H30" s="45"/>
      <c r="I30" s="58">
        <v>3273</v>
      </c>
      <c r="J30" s="46">
        <v>3273</v>
      </c>
      <c r="K30" s="43"/>
      <c r="L30" s="45"/>
      <c r="M30" s="45"/>
      <c r="N30" s="46"/>
      <c r="O30" s="43"/>
      <c r="P30" s="45"/>
      <c r="Q30" s="46"/>
      <c r="R30" s="43"/>
      <c r="S30" s="55"/>
      <c r="T30" s="55"/>
      <c r="U30" s="46"/>
    </row>
    <row r="31" spans="1:21" s="37" customFormat="1" x14ac:dyDescent="0.2">
      <c r="A31" s="39" t="s">
        <v>60</v>
      </c>
      <c r="B31" s="43"/>
      <c r="C31" s="43"/>
      <c r="D31" s="43"/>
      <c r="E31" s="43"/>
      <c r="F31" s="43"/>
      <c r="G31" s="44"/>
      <c r="H31" s="45"/>
      <c r="I31" s="58">
        <v>1667</v>
      </c>
      <c r="J31" s="46">
        <v>1667</v>
      </c>
      <c r="K31" s="43"/>
      <c r="L31" s="45"/>
      <c r="M31" s="45"/>
      <c r="N31" s="46"/>
      <c r="O31" s="43"/>
      <c r="P31" s="45"/>
      <c r="Q31" s="46"/>
      <c r="R31" s="43"/>
      <c r="S31" s="55"/>
      <c r="T31" s="55"/>
      <c r="U31" s="46"/>
    </row>
    <row r="32" spans="1:21" ht="25.5" x14ac:dyDescent="0.2">
      <c r="A32" s="16" t="s">
        <v>26</v>
      </c>
      <c r="B32" s="23"/>
      <c r="C32" s="23"/>
      <c r="D32" s="23"/>
      <c r="E32" s="23"/>
      <c r="F32" s="23"/>
      <c r="G32" s="6"/>
      <c r="H32" s="104">
        <v>807</v>
      </c>
      <c r="I32" s="59"/>
      <c r="J32" s="24"/>
      <c r="K32" s="31"/>
      <c r="L32" s="105">
        <v>130993</v>
      </c>
      <c r="M32" s="7"/>
      <c r="N32" s="32"/>
      <c r="O32" s="23"/>
      <c r="P32" s="7"/>
      <c r="Q32" s="24"/>
      <c r="R32" s="23"/>
      <c r="S32" s="56"/>
      <c r="T32" s="56"/>
      <c r="U32" s="24"/>
    </row>
    <row r="33" spans="1:21" ht="38.25" x14ac:dyDescent="0.2">
      <c r="A33" s="16" t="s">
        <v>25</v>
      </c>
      <c r="B33" s="23"/>
      <c r="C33" s="23"/>
      <c r="D33" s="23"/>
      <c r="E33" s="23"/>
      <c r="F33" s="23"/>
      <c r="G33" s="6"/>
      <c r="H33" s="104">
        <v>27298</v>
      </c>
      <c r="I33" s="59"/>
      <c r="J33" s="24"/>
      <c r="K33" s="31"/>
      <c r="L33" s="105">
        <v>29993</v>
      </c>
      <c r="M33" s="7"/>
      <c r="N33" s="32"/>
      <c r="O33" s="106">
        <v>64999</v>
      </c>
      <c r="P33" s="7"/>
      <c r="Q33" s="24"/>
      <c r="R33" s="106">
        <v>3710</v>
      </c>
      <c r="S33" s="56"/>
      <c r="T33" s="56"/>
      <c r="U33" s="24"/>
    </row>
    <row r="34" spans="1:21" s="8" customFormat="1" x14ac:dyDescent="0.2">
      <c r="A34" s="17" t="s">
        <v>31</v>
      </c>
      <c r="B34" s="25">
        <f t="shared" ref="B34:R34" si="0">SUM(B3:B33)</f>
        <v>0</v>
      </c>
      <c r="C34" s="25">
        <f t="shared" si="0"/>
        <v>0</v>
      </c>
      <c r="D34" s="25">
        <f t="shared" si="0"/>
        <v>143427.81</v>
      </c>
      <c r="E34" s="25">
        <f t="shared" si="0"/>
        <v>206844.18</v>
      </c>
      <c r="F34" s="25">
        <f t="shared" si="0"/>
        <v>0</v>
      </c>
      <c r="G34" s="1">
        <f t="shared" si="0"/>
        <v>0</v>
      </c>
      <c r="H34" s="1">
        <f t="shared" si="0"/>
        <v>28105</v>
      </c>
      <c r="I34" s="60">
        <f t="shared" si="0"/>
        <v>430968.47000000003</v>
      </c>
      <c r="J34" s="63">
        <f t="shared" si="0"/>
        <v>343121.25</v>
      </c>
      <c r="K34" s="25">
        <f t="shared" si="0"/>
        <v>0</v>
      </c>
      <c r="L34" s="1">
        <f t="shared" si="0"/>
        <v>160986</v>
      </c>
      <c r="M34" s="1">
        <f t="shared" si="0"/>
        <v>334941</v>
      </c>
      <c r="N34" s="26">
        <f t="shared" si="0"/>
        <v>242610</v>
      </c>
      <c r="O34" s="25">
        <f t="shared" si="0"/>
        <v>64999</v>
      </c>
      <c r="P34" s="25">
        <f t="shared" si="0"/>
        <v>477011</v>
      </c>
      <c r="Q34" s="26">
        <f t="shared" si="0"/>
        <v>782497</v>
      </c>
      <c r="R34" s="25">
        <f t="shared" si="0"/>
        <v>3710</v>
      </c>
      <c r="S34" s="25"/>
      <c r="T34" s="25">
        <f>SUM(T3:T33)</f>
        <v>0</v>
      </c>
      <c r="U34" s="26">
        <f>SUM(U3:U33)</f>
        <v>125615</v>
      </c>
    </row>
    <row r="35" spans="1:21" s="37" customFormat="1" ht="25.5" x14ac:dyDescent="0.2">
      <c r="A35" s="38" t="s">
        <v>101</v>
      </c>
      <c r="B35" s="43"/>
      <c r="C35" s="43"/>
      <c r="D35" s="43">
        <v>9288.98</v>
      </c>
      <c r="E35" s="43">
        <v>0</v>
      </c>
      <c r="F35" s="43"/>
      <c r="G35" s="44"/>
      <c r="H35" s="45"/>
      <c r="I35" s="58">
        <v>247.28</v>
      </c>
      <c r="J35" s="97">
        <v>8965</v>
      </c>
      <c r="K35" s="43"/>
      <c r="L35" s="45"/>
      <c r="M35" s="45"/>
      <c r="N35" s="46"/>
      <c r="O35" s="43"/>
      <c r="P35" s="55"/>
      <c r="Q35" s="46"/>
      <c r="R35" s="43"/>
      <c r="S35" s="55"/>
      <c r="T35" s="55"/>
      <c r="U35" s="46"/>
    </row>
    <row r="36" spans="1:21" s="37" customFormat="1" x14ac:dyDescent="0.2">
      <c r="A36" s="39" t="s">
        <v>61</v>
      </c>
      <c r="B36" s="43"/>
      <c r="C36" s="43"/>
      <c r="D36" s="43">
        <v>3466.25</v>
      </c>
      <c r="E36" s="43"/>
      <c r="F36" s="43"/>
      <c r="G36" s="44"/>
      <c r="H36" s="45"/>
      <c r="I36" s="58">
        <f>6095+56.28</f>
        <v>6151.28</v>
      </c>
      <c r="J36" s="46">
        <v>19892.599999999999</v>
      </c>
      <c r="K36" s="43"/>
      <c r="L36" s="45"/>
      <c r="M36" s="45"/>
      <c r="N36" s="46"/>
      <c r="O36" s="43"/>
      <c r="P36" s="55"/>
      <c r="Q36" s="46"/>
      <c r="R36" s="43"/>
      <c r="S36" s="55"/>
      <c r="T36" s="55"/>
      <c r="U36" s="46"/>
    </row>
    <row r="37" spans="1:21" s="37" customFormat="1" x14ac:dyDescent="0.2">
      <c r="A37" s="39" t="s">
        <v>62</v>
      </c>
      <c r="B37" s="43"/>
      <c r="C37" s="43"/>
      <c r="D37" s="43">
        <v>8810.76</v>
      </c>
      <c r="E37" s="43">
        <v>289.41000000000003</v>
      </c>
      <c r="F37" s="43"/>
      <c r="G37" s="44"/>
      <c r="H37" s="45"/>
      <c r="I37" s="58"/>
      <c r="J37" s="46">
        <v>23274.1</v>
      </c>
      <c r="K37" s="43"/>
      <c r="L37" s="45"/>
      <c r="M37" s="45"/>
      <c r="N37" s="46"/>
      <c r="O37" s="43"/>
      <c r="P37" s="55"/>
      <c r="Q37" s="46"/>
      <c r="R37" s="43"/>
      <c r="S37" s="55"/>
      <c r="T37" s="55"/>
      <c r="U37" s="46"/>
    </row>
    <row r="38" spans="1:21" s="37" customFormat="1" x14ac:dyDescent="0.2">
      <c r="A38" s="39" t="s">
        <v>63</v>
      </c>
      <c r="B38" s="43"/>
      <c r="C38" s="43"/>
      <c r="D38" s="43"/>
      <c r="E38" s="43">
        <v>21763.89</v>
      </c>
      <c r="F38" s="43"/>
      <c r="G38" s="44"/>
      <c r="H38" s="45"/>
      <c r="I38" s="58"/>
      <c r="J38" s="46"/>
      <c r="K38" s="43"/>
      <c r="L38" s="45"/>
      <c r="M38" s="45"/>
      <c r="N38" s="46"/>
      <c r="O38" s="43"/>
      <c r="P38" s="55"/>
      <c r="Q38" s="46"/>
      <c r="R38" s="43"/>
      <c r="S38" s="55"/>
      <c r="T38" s="55"/>
      <c r="U38" s="46"/>
    </row>
    <row r="39" spans="1:21" s="37" customFormat="1" ht="25.5" x14ac:dyDescent="0.2">
      <c r="A39" s="39" t="s">
        <v>64</v>
      </c>
      <c r="B39" s="43"/>
      <c r="C39" s="43"/>
      <c r="D39" s="43">
        <v>22429.23</v>
      </c>
      <c r="E39" s="43">
        <v>76086.210000000006</v>
      </c>
      <c r="F39" s="43"/>
      <c r="G39" s="44"/>
      <c r="H39" s="45"/>
      <c r="I39" s="58"/>
      <c r="J39" s="46"/>
      <c r="K39" s="43"/>
      <c r="L39" s="45"/>
      <c r="M39" s="45"/>
      <c r="N39" s="46"/>
      <c r="O39" s="43"/>
      <c r="P39" s="55"/>
      <c r="Q39" s="46"/>
      <c r="R39" s="43"/>
      <c r="S39" s="55"/>
      <c r="T39" s="55"/>
      <c r="U39" s="46"/>
    </row>
    <row r="40" spans="1:21" s="37" customFormat="1" x14ac:dyDescent="0.2">
      <c r="A40" s="39" t="s">
        <v>65</v>
      </c>
      <c r="B40" s="43"/>
      <c r="C40" s="43"/>
      <c r="D40" s="43">
        <v>64478.93</v>
      </c>
      <c r="E40" s="43"/>
      <c r="F40" s="43"/>
      <c r="G40" s="44"/>
      <c r="H40" s="45"/>
      <c r="I40" s="58">
        <f>15683+2177.01</f>
        <v>17860.010000000002</v>
      </c>
      <c r="J40" s="46">
        <v>100144</v>
      </c>
      <c r="K40" s="43"/>
      <c r="L40" s="45"/>
      <c r="M40" s="45"/>
      <c r="N40" s="46"/>
      <c r="O40" s="43"/>
      <c r="P40" s="55"/>
      <c r="Q40" s="46"/>
      <c r="R40" s="43"/>
      <c r="S40" s="55"/>
      <c r="T40" s="55"/>
      <c r="U40" s="46"/>
    </row>
    <row r="41" spans="1:21" s="37" customFormat="1" x14ac:dyDescent="0.2">
      <c r="A41" s="39" t="s">
        <v>66</v>
      </c>
      <c r="B41" s="43"/>
      <c r="C41" s="43"/>
      <c r="D41" s="43"/>
      <c r="E41" s="43"/>
      <c r="F41" s="43"/>
      <c r="G41" s="44"/>
      <c r="H41" s="45"/>
      <c r="I41" s="58"/>
      <c r="J41" s="46"/>
      <c r="K41" s="43"/>
      <c r="L41" s="45"/>
      <c r="M41" s="45"/>
      <c r="N41" s="46"/>
      <c r="O41" s="43"/>
      <c r="P41" s="55"/>
      <c r="Q41" s="46"/>
      <c r="R41" s="43"/>
      <c r="S41" s="55"/>
      <c r="T41" s="55"/>
      <c r="U41" s="46"/>
    </row>
    <row r="42" spans="1:21" s="37" customFormat="1" x14ac:dyDescent="0.2">
      <c r="A42" s="39" t="s">
        <v>67</v>
      </c>
      <c r="B42" s="43"/>
      <c r="C42" s="43"/>
      <c r="D42" s="43"/>
      <c r="E42" s="43"/>
      <c r="F42" s="43"/>
      <c r="G42" s="44"/>
      <c r="H42" s="45"/>
      <c r="I42" s="58"/>
      <c r="J42" s="46"/>
      <c r="K42" s="43"/>
      <c r="L42" s="45"/>
      <c r="M42" s="45">
        <v>16540</v>
      </c>
      <c r="N42" s="46">
        <v>16540</v>
      </c>
      <c r="O42" s="43"/>
      <c r="P42" s="55"/>
      <c r="Q42" s="46"/>
      <c r="R42" s="43"/>
      <c r="S42" s="55"/>
      <c r="T42" s="55"/>
      <c r="U42" s="46"/>
    </row>
    <row r="43" spans="1:21" s="37" customFormat="1" ht="25.5" x14ac:dyDescent="0.2">
      <c r="A43" s="39" t="s">
        <v>68</v>
      </c>
      <c r="B43" s="43"/>
      <c r="C43" s="43"/>
      <c r="D43" s="43">
        <v>1576.58</v>
      </c>
      <c r="E43" s="43"/>
      <c r="F43" s="43"/>
      <c r="G43" s="44"/>
      <c r="H43" s="45"/>
      <c r="I43" s="58">
        <f>23400+1894.3</f>
        <v>25294.3</v>
      </c>
      <c r="J43" s="46"/>
      <c r="K43" s="43"/>
      <c r="L43" s="45"/>
      <c r="M43" s="45">
        <v>9848.58</v>
      </c>
      <c r="N43" s="46">
        <v>36719.47</v>
      </c>
      <c r="O43" s="43"/>
      <c r="P43" s="55"/>
      <c r="Q43" s="46"/>
      <c r="R43" s="43"/>
      <c r="S43" s="55"/>
      <c r="T43" s="55"/>
      <c r="U43" s="46"/>
    </row>
    <row r="44" spans="1:21" x14ac:dyDescent="0.2">
      <c r="A44" s="16" t="s">
        <v>5</v>
      </c>
      <c r="B44" s="27"/>
      <c r="C44" s="27"/>
      <c r="D44" s="27"/>
      <c r="E44" s="27"/>
      <c r="F44" s="27">
        <v>37193.040000000001</v>
      </c>
      <c r="G44" s="11"/>
      <c r="H44" s="11">
        <v>17174</v>
      </c>
      <c r="I44" s="61"/>
      <c r="J44" s="28"/>
      <c r="K44" s="47"/>
      <c r="L44" s="12">
        <v>50000</v>
      </c>
      <c r="M44" s="12"/>
      <c r="N44" s="33"/>
      <c r="O44" s="36">
        <v>50000</v>
      </c>
      <c r="P44" s="65"/>
      <c r="Q44" s="33"/>
      <c r="R44" s="43">
        <v>382334</v>
      </c>
      <c r="S44" s="55"/>
      <c r="T44" s="55"/>
      <c r="U44" s="46"/>
    </row>
    <row r="45" spans="1:21" x14ac:dyDescent="0.2">
      <c r="A45" s="16" t="s">
        <v>2</v>
      </c>
      <c r="B45" s="23"/>
      <c r="C45" s="23"/>
      <c r="D45" s="23"/>
      <c r="E45" s="23"/>
      <c r="F45" s="23">
        <v>71.91</v>
      </c>
      <c r="G45" s="6"/>
      <c r="H45" s="6">
        <v>2760</v>
      </c>
      <c r="I45" s="59"/>
      <c r="J45" s="24"/>
      <c r="K45" s="47"/>
      <c r="L45" s="9">
        <v>9940</v>
      </c>
      <c r="M45" s="9"/>
      <c r="N45" s="34"/>
      <c r="O45" s="23">
        <v>60448</v>
      </c>
      <c r="P45" s="56"/>
      <c r="Q45" s="24"/>
      <c r="R45" s="23">
        <v>220000</v>
      </c>
      <c r="S45" s="56"/>
      <c r="T45" s="56"/>
      <c r="U45" s="24"/>
    </row>
    <row r="46" spans="1:21" x14ac:dyDescent="0.2">
      <c r="A46" s="16" t="s">
        <v>3</v>
      </c>
      <c r="B46" s="23"/>
      <c r="C46" s="23"/>
      <c r="D46" s="23"/>
      <c r="E46" s="23"/>
      <c r="F46" s="23"/>
      <c r="G46" s="6"/>
      <c r="H46" s="104">
        <v>22000</v>
      </c>
      <c r="I46" s="59"/>
      <c r="J46" s="24"/>
      <c r="K46" s="47"/>
      <c r="L46" s="105">
        <v>13215</v>
      </c>
      <c r="M46" s="7"/>
      <c r="N46" s="32"/>
      <c r="O46" s="23"/>
      <c r="P46" s="56"/>
      <c r="Q46" s="24"/>
      <c r="R46" s="23"/>
      <c r="S46" s="56"/>
      <c r="T46" s="56"/>
      <c r="U46" s="24"/>
    </row>
    <row r="47" spans="1:21" x14ac:dyDescent="0.2">
      <c r="A47" s="16" t="s">
        <v>1</v>
      </c>
      <c r="B47" s="23"/>
      <c r="C47" s="23"/>
      <c r="D47" s="23"/>
      <c r="E47" s="23"/>
      <c r="F47" s="23"/>
      <c r="G47" s="6"/>
      <c r="H47" s="6"/>
      <c r="I47" s="59"/>
      <c r="J47" s="24"/>
      <c r="K47" s="35"/>
      <c r="L47" s="7"/>
      <c r="M47" s="7"/>
      <c r="N47" s="32"/>
      <c r="O47" s="23">
        <v>30000</v>
      </c>
      <c r="P47" s="56"/>
      <c r="Q47" s="24"/>
      <c r="R47" s="23">
        <v>65000</v>
      </c>
      <c r="S47" s="56"/>
      <c r="T47" s="56"/>
      <c r="U47" s="24"/>
    </row>
    <row r="48" spans="1:21" x14ac:dyDescent="0.2">
      <c r="A48" s="16" t="s">
        <v>4</v>
      </c>
      <c r="B48" s="23"/>
      <c r="C48" s="23"/>
      <c r="D48" s="23"/>
      <c r="E48" s="23"/>
      <c r="F48" s="23"/>
      <c r="G48" s="6"/>
      <c r="H48" s="104">
        <v>25000</v>
      </c>
      <c r="I48" s="59"/>
      <c r="J48" s="24"/>
      <c r="K48" s="47"/>
      <c r="L48" s="105">
        <v>70000</v>
      </c>
      <c r="M48" s="7"/>
      <c r="N48" s="32"/>
      <c r="O48" s="23"/>
      <c r="P48" s="56"/>
      <c r="Q48" s="24"/>
      <c r="R48" s="23"/>
      <c r="S48" s="56"/>
      <c r="T48" s="56"/>
      <c r="U48" s="24"/>
    </row>
    <row r="49" spans="1:21" s="8" customFormat="1" x14ac:dyDescent="0.2">
      <c r="A49" s="17" t="s">
        <v>27</v>
      </c>
      <c r="B49" s="25">
        <f t="shared" ref="B49:R49" si="1">SUM(B35:B48)</f>
        <v>0</v>
      </c>
      <c r="C49" s="25">
        <f t="shared" si="1"/>
        <v>0</v>
      </c>
      <c r="D49" s="25">
        <f t="shared" si="1"/>
        <v>110050.73</v>
      </c>
      <c r="E49" s="25">
        <f t="shared" si="1"/>
        <v>98139.510000000009</v>
      </c>
      <c r="F49" s="25">
        <f t="shared" si="1"/>
        <v>37264.950000000004</v>
      </c>
      <c r="G49" s="1">
        <f t="shared" si="1"/>
        <v>0</v>
      </c>
      <c r="H49" s="1">
        <f t="shared" si="1"/>
        <v>66934</v>
      </c>
      <c r="I49" s="60">
        <f t="shared" si="1"/>
        <v>49552.869999999995</v>
      </c>
      <c r="J49" s="63">
        <f t="shared" si="1"/>
        <v>152275.70000000001</v>
      </c>
      <c r="K49" s="25">
        <f t="shared" si="1"/>
        <v>0</v>
      </c>
      <c r="L49" s="1">
        <f t="shared" si="1"/>
        <v>143155</v>
      </c>
      <c r="M49" s="1">
        <f t="shared" si="1"/>
        <v>26388.58</v>
      </c>
      <c r="N49" s="26">
        <f t="shared" si="1"/>
        <v>53259.47</v>
      </c>
      <c r="O49" s="25">
        <f t="shared" si="1"/>
        <v>140448</v>
      </c>
      <c r="P49" s="15">
        <f t="shared" si="1"/>
        <v>0</v>
      </c>
      <c r="Q49" s="26">
        <f t="shared" si="1"/>
        <v>0</v>
      </c>
      <c r="R49" s="25">
        <f t="shared" si="1"/>
        <v>667334</v>
      </c>
      <c r="S49" s="15"/>
      <c r="T49" s="15">
        <f>SUM(T35:T48)</f>
        <v>0</v>
      </c>
      <c r="U49" s="26">
        <f>SUM(U35:U48)</f>
        <v>0</v>
      </c>
    </row>
    <row r="50" spans="1:21" s="37" customFormat="1" ht="25.5" x14ac:dyDescent="0.2">
      <c r="A50" s="40" t="s">
        <v>69</v>
      </c>
      <c r="B50" s="43"/>
      <c r="C50" s="43"/>
      <c r="D50" s="43">
        <v>12148.69</v>
      </c>
      <c r="E50" s="43"/>
      <c r="F50" s="43"/>
      <c r="G50" s="44"/>
      <c r="H50" s="45"/>
      <c r="I50" s="58">
        <f>10049+2355.75</f>
        <v>12404.75</v>
      </c>
      <c r="J50" s="46"/>
      <c r="K50" s="43"/>
      <c r="L50" s="45"/>
      <c r="M50" s="45"/>
      <c r="N50" s="46">
        <v>24553.439999999999</v>
      </c>
      <c r="O50" s="43"/>
      <c r="P50" s="55"/>
      <c r="Q50" s="46"/>
      <c r="R50" s="43"/>
      <c r="S50" s="55"/>
      <c r="T50" s="55"/>
      <c r="U50" s="46"/>
    </row>
    <row r="51" spans="1:21" s="37" customFormat="1" x14ac:dyDescent="0.2">
      <c r="A51" s="40" t="s">
        <v>70</v>
      </c>
      <c r="B51" s="43"/>
      <c r="C51" s="43"/>
      <c r="D51" s="43">
        <v>5289.39</v>
      </c>
      <c r="E51" s="43"/>
      <c r="F51" s="43"/>
      <c r="G51" s="44"/>
      <c r="H51" s="45"/>
      <c r="I51" s="58">
        <f>6604+1011.92</f>
        <v>7615.92</v>
      </c>
      <c r="J51" s="46"/>
      <c r="K51" s="43"/>
      <c r="L51" s="45"/>
      <c r="M51" s="45"/>
      <c r="N51" s="46">
        <v>12905.31</v>
      </c>
      <c r="O51" s="43"/>
      <c r="P51" s="55"/>
      <c r="Q51" s="46"/>
      <c r="R51" s="43"/>
      <c r="S51" s="55"/>
      <c r="T51" s="55"/>
      <c r="U51" s="46"/>
    </row>
    <row r="52" spans="1:21" s="37" customFormat="1" ht="25.5" x14ac:dyDescent="0.2">
      <c r="A52" s="40" t="s">
        <v>71</v>
      </c>
      <c r="B52" s="43"/>
      <c r="C52" s="43"/>
      <c r="D52" s="43">
        <v>9693.66</v>
      </c>
      <c r="E52" s="43"/>
      <c r="F52" s="43"/>
      <c r="G52" s="44"/>
      <c r="H52" s="45"/>
      <c r="I52" s="58">
        <f>9172+2111.11</f>
        <v>11283.11</v>
      </c>
      <c r="J52" s="46"/>
      <c r="K52" s="43"/>
      <c r="L52" s="45"/>
      <c r="M52" s="45"/>
      <c r="N52" s="46">
        <v>20976.77</v>
      </c>
      <c r="O52" s="43"/>
      <c r="P52" s="55"/>
      <c r="Q52" s="46"/>
      <c r="R52" s="43"/>
      <c r="S52" s="55"/>
      <c r="T52" s="55"/>
      <c r="U52" s="46"/>
    </row>
    <row r="53" spans="1:21" s="37" customFormat="1" ht="25.5" x14ac:dyDescent="0.2">
      <c r="A53" s="40" t="s">
        <v>72</v>
      </c>
      <c r="B53" s="43"/>
      <c r="C53" s="43"/>
      <c r="D53" s="43"/>
      <c r="E53" s="43"/>
      <c r="F53" s="43"/>
      <c r="G53" s="44"/>
      <c r="H53" s="45"/>
      <c r="I53" s="58">
        <v>17386</v>
      </c>
      <c r="J53" s="46"/>
      <c r="K53" s="43"/>
      <c r="L53" s="45"/>
      <c r="M53" s="45">
        <v>14103</v>
      </c>
      <c r="N53" s="46"/>
      <c r="O53" s="43"/>
      <c r="P53" s="55"/>
      <c r="Q53" s="46">
        <v>31489</v>
      </c>
      <c r="R53" s="43"/>
      <c r="S53" s="55"/>
      <c r="T53" s="55"/>
      <c r="U53" s="46"/>
    </row>
    <row r="54" spans="1:21" s="37" customFormat="1" x14ac:dyDescent="0.2">
      <c r="A54" s="40" t="s">
        <v>73</v>
      </c>
      <c r="B54" s="43"/>
      <c r="C54" s="43"/>
      <c r="D54" s="43"/>
      <c r="E54" s="43"/>
      <c r="F54" s="43"/>
      <c r="G54" s="44"/>
      <c r="H54" s="45">
        <v>74216</v>
      </c>
      <c r="I54" s="58">
        <v>26568</v>
      </c>
      <c r="J54" s="46"/>
      <c r="K54" s="43"/>
      <c r="L54" s="89">
        <v>41359</v>
      </c>
      <c r="M54" s="95">
        <v>21641</v>
      </c>
      <c r="N54" s="46"/>
      <c r="O54" s="98">
        <v>61637</v>
      </c>
      <c r="P54" s="99">
        <v>0</v>
      </c>
      <c r="Q54" s="46">
        <v>48209</v>
      </c>
      <c r="R54" s="43"/>
      <c r="S54" s="55"/>
      <c r="T54" s="55"/>
      <c r="U54" s="46"/>
    </row>
    <row r="55" spans="1:21" s="37" customFormat="1" ht="25.5" x14ac:dyDescent="0.2">
      <c r="A55" s="40" t="s">
        <v>74</v>
      </c>
      <c r="B55" s="43"/>
      <c r="C55" s="43"/>
      <c r="D55" s="43"/>
      <c r="E55" s="43"/>
      <c r="F55" s="43"/>
      <c r="G55" s="44"/>
      <c r="H55" s="45">
        <v>35734</v>
      </c>
      <c r="I55" s="58">
        <v>4016</v>
      </c>
      <c r="J55" s="46"/>
      <c r="K55" s="43"/>
      <c r="L55" s="45">
        <v>25770</v>
      </c>
      <c r="M55" s="45"/>
      <c r="N55" s="97">
        <v>0</v>
      </c>
      <c r="O55" s="43"/>
      <c r="P55" s="55"/>
      <c r="Q55" s="97">
        <v>4016</v>
      </c>
      <c r="R55" s="43"/>
      <c r="S55" s="55"/>
      <c r="T55" s="55"/>
      <c r="U55" s="46"/>
    </row>
    <row r="56" spans="1:21" s="37" customFormat="1" ht="15" x14ac:dyDescent="0.25">
      <c r="A56" s="40" t="s">
        <v>75</v>
      </c>
      <c r="B56" s="43"/>
      <c r="C56" s="43"/>
      <c r="D56" s="43"/>
      <c r="E56" s="43"/>
      <c r="F56" s="43"/>
      <c r="G56" s="44"/>
      <c r="H56" s="45"/>
      <c r="I56" s="58">
        <v>13340</v>
      </c>
      <c r="J56" s="46"/>
      <c r="K56" s="43"/>
      <c r="L56" s="45"/>
      <c r="M56" s="103">
        <v>6767</v>
      </c>
      <c r="N56" s="46"/>
      <c r="O56" s="43"/>
      <c r="P56" s="55"/>
      <c r="Q56" s="46">
        <v>20107</v>
      </c>
      <c r="R56" s="43"/>
      <c r="S56" s="55"/>
      <c r="T56" s="55"/>
      <c r="U56" s="46"/>
    </row>
    <row r="57" spans="1:21" s="37" customFormat="1" x14ac:dyDescent="0.2">
      <c r="A57" s="40" t="s">
        <v>76</v>
      </c>
      <c r="B57" s="43"/>
      <c r="C57" s="43"/>
      <c r="D57" s="43"/>
      <c r="E57" s="43"/>
      <c r="F57" s="43"/>
      <c r="G57" s="44"/>
      <c r="H57" s="45"/>
      <c r="I57" s="58"/>
      <c r="J57" s="46"/>
      <c r="K57" s="43"/>
      <c r="L57" s="45"/>
      <c r="M57" s="9">
        <v>1750</v>
      </c>
      <c r="N57" s="46"/>
      <c r="O57" s="43"/>
      <c r="P57" s="55">
        <v>1750</v>
      </c>
      <c r="Q57" s="46">
        <v>3500</v>
      </c>
      <c r="R57" s="43"/>
      <c r="S57" s="55"/>
      <c r="T57" s="55"/>
      <c r="U57" s="46"/>
    </row>
    <row r="58" spans="1:21" ht="25.5" x14ac:dyDescent="0.2">
      <c r="A58" s="87" t="s">
        <v>23</v>
      </c>
      <c r="B58" s="23"/>
      <c r="C58" s="23"/>
      <c r="D58" s="23"/>
      <c r="E58" s="23"/>
      <c r="F58" s="23">
        <v>38.97</v>
      </c>
      <c r="G58" s="6"/>
      <c r="H58" s="91">
        <v>28230</v>
      </c>
      <c r="I58" s="92">
        <v>52500</v>
      </c>
      <c r="J58" s="93">
        <v>0</v>
      </c>
      <c r="K58" s="47"/>
      <c r="L58" s="91">
        <v>187500</v>
      </c>
      <c r="M58" s="94">
        <v>12500</v>
      </c>
      <c r="N58" s="93">
        <v>65000</v>
      </c>
      <c r="O58" s="106">
        <v>90531</v>
      </c>
      <c r="P58" s="56"/>
      <c r="Q58" s="24"/>
      <c r="R58" s="23"/>
      <c r="S58" s="56"/>
      <c r="T58" s="56"/>
      <c r="U58" s="24"/>
    </row>
    <row r="59" spans="1:21" x14ac:dyDescent="0.2">
      <c r="A59" s="18" t="s">
        <v>151</v>
      </c>
      <c r="B59" s="23"/>
      <c r="C59" s="23"/>
      <c r="D59" s="23"/>
      <c r="E59" s="23"/>
      <c r="F59" s="23"/>
      <c r="G59" s="6"/>
      <c r="H59" s="6">
        <v>10000</v>
      </c>
      <c r="I59" s="59"/>
      <c r="J59" s="24"/>
      <c r="K59" s="47"/>
      <c r="L59" s="6"/>
      <c r="M59" s="62"/>
      <c r="N59" s="24"/>
      <c r="O59" s="23"/>
      <c r="P59" s="56"/>
      <c r="Q59" s="24"/>
      <c r="R59" s="23"/>
      <c r="S59" s="56"/>
      <c r="T59" s="56"/>
      <c r="U59" s="24"/>
    </row>
    <row r="60" spans="1:21" x14ac:dyDescent="0.2">
      <c r="A60" s="18" t="s">
        <v>24</v>
      </c>
      <c r="B60" s="23"/>
      <c r="C60" s="23"/>
      <c r="D60" s="23"/>
      <c r="E60" s="23"/>
      <c r="F60" s="23"/>
      <c r="G60" s="6"/>
      <c r="H60" s="6">
        <v>30452</v>
      </c>
      <c r="I60" s="59"/>
      <c r="J60" s="24"/>
      <c r="K60" s="47"/>
      <c r="L60" s="6">
        <v>62206</v>
      </c>
      <c r="M60" s="58">
        <v>37794</v>
      </c>
      <c r="N60" s="46">
        <v>37794</v>
      </c>
      <c r="O60" s="23">
        <v>25698</v>
      </c>
      <c r="P60" s="56"/>
      <c r="Q60" s="24"/>
      <c r="R60" s="23"/>
      <c r="S60" s="56"/>
      <c r="T60" s="56"/>
      <c r="U60" s="24"/>
    </row>
    <row r="61" spans="1:21" ht="25.5" x14ac:dyDescent="0.2">
      <c r="A61" s="18" t="s">
        <v>160</v>
      </c>
      <c r="B61" s="23"/>
      <c r="C61" s="23"/>
      <c r="D61" s="23"/>
      <c r="E61" s="23"/>
      <c r="F61" s="23"/>
      <c r="G61" s="6"/>
      <c r="H61" s="6">
        <v>7800</v>
      </c>
      <c r="I61" s="59"/>
      <c r="J61" s="24"/>
      <c r="K61" s="47"/>
      <c r="L61" s="6">
        <v>5700</v>
      </c>
      <c r="M61" s="7"/>
      <c r="N61" s="24"/>
      <c r="O61" s="23"/>
      <c r="P61" s="56"/>
      <c r="Q61" s="24"/>
      <c r="R61" s="23"/>
      <c r="S61" s="56"/>
      <c r="T61" s="56"/>
      <c r="U61" s="24"/>
    </row>
    <row r="62" spans="1:21" s="8" customFormat="1" x14ac:dyDescent="0.2">
      <c r="A62" s="17" t="s">
        <v>30</v>
      </c>
      <c r="B62" s="25">
        <f t="shared" ref="B62:U62" si="2">SUM(B50:B61)</f>
        <v>0</v>
      </c>
      <c r="C62" s="25">
        <f t="shared" si="2"/>
        <v>0</v>
      </c>
      <c r="D62" s="25">
        <f t="shared" si="2"/>
        <v>27131.74</v>
      </c>
      <c r="E62" s="25">
        <f t="shared" si="2"/>
        <v>0</v>
      </c>
      <c r="F62" s="25">
        <f t="shared" si="2"/>
        <v>38.97</v>
      </c>
      <c r="G62" s="25">
        <f t="shared" si="2"/>
        <v>0</v>
      </c>
      <c r="H62" s="25">
        <f t="shared" si="2"/>
        <v>186432</v>
      </c>
      <c r="I62" s="25">
        <f t="shared" si="2"/>
        <v>145113.78</v>
      </c>
      <c r="J62" s="25">
        <f t="shared" si="2"/>
        <v>0</v>
      </c>
      <c r="K62" s="25">
        <f t="shared" si="2"/>
        <v>0</v>
      </c>
      <c r="L62" s="25">
        <f t="shared" si="2"/>
        <v>322535</v>
      </c>
      <c r="M62" s="25">
        <f t="shared" si="2"/>
        <v>94555</v>
      </c>
      <c r="N62" s="25">
        <f t="shared" si="2"/>
        <v>161229.52000000002</v>
      </c>
      <c r="O62" s="25">
        <f t="shared" si="2"/>
        <v>177866</v>
      </c>
      <c r="P62" s="25">
        <f t="shared" si="2"/>
        <v>1750</v>
      </c>
      <c r="Q62" s="25">
        <f t="shared" si="2"/>
        <v>107321</v>
      </c>
      <c r="R62" s="25">
        <f t="shared" si="2"/>
        <v>0</v>
      </c>
      <c r="S62" s="25">
        <f t="shared" si="2"/>
        <v>0</v>
      </c>
      <c r="T62" s="25">
        <f t="shared" si="2"/>
        <v>0</v>
      </c>
      <c r="U62" s="25">
        <f t="shared" si="2"/>
        <v>0</v>
      </c>
    </row>
    <row r="63" spans="1:21" s="37" customFormat="1" x14ac:dyDescent="0.2">
      <c r="A63" s="38" t="s">
        <v>102</v>
      </c>
      <c r="B63" s="43"/>
      <c r="C63" s="43"/>
      <c r="D63" s="43"/>
      <c r="E63" s="43"/>
      <c r="F63" s="43"/>
      <c r="G63" s="44"/>
      <c r="H63" s="45"/>
      <c r="I63" s="58"/>
      <c r="J63" s="46"/>
      <c r="K63" s="43"/>
      <c r="L63" s="45"/>
      <c r="M63" s="58">
        <v>6000</v>
      </c>
      <c r="N63" s="46"/>
      <c r="O63" s="43"/>
      <c r="P63" s="55">
        <v>14200</v>
      </c>
      <c r="Q63" s="46">
        <v>20200</v>
      </c>
      <c r="R63" s="43"/>
      <c r="S63" s="55"/>
      <c r="T63" s="55"/>
      <c r="U63" s="46"/>
    </row>
    <row r="64" spans="1:21" s="37" customFormat="1" x14ac:dyDescent="0.2">
      <c r="A64" s="38" t="s">
        <v>103</v>
      </c>
      <c r="B64" s="43"/>
      <c r="C64" s="43"/>
      <c r="D64" s="43">
        <v>1730.77</v>
      </c>
      <c r="E64" s="43"/>
      <c r="F64" s="43"/>
      <c r="G64" s="44"/>
      <c r="H64" s="45"/>
      <c r="I64" s="58">
        <f>4250+509.3</f>
        <v>4759.3</v>
      </c>
      <c r="J64" s="46">
        <v>6490</v>
      </c>
      <c r="K64" s="43"/>
      <c r="L64" s="45"/>
      <c r="M64" s="58"/>
      <c r="N64" s="46"/>
      <c r="O64" s="43"/>
      <c r="P64" s="55"/>
      <c r="Q64" s="46"/>
      <c r="R64" s="43"/>
      <c r="S64" s="55"/>
      <c r="T64" s="55"/>
      <c r="U64" s="46"/>
    </row>
    <row r="65" spans="1:21" s="37" customFormat="1" x14ac:dyDescent="0.2">
      <c r="A65" s="38" t="s">
        <v>104</v>
      </c>
      <c r="B65" s="43"/>
      <c r="C65" s="43"/>
      <c r="D65" s="43">
        <v>2331.21</v>
      </c>
      <c r="E65" s="43"/>
      <c r="F65" s="43"/>
      <c r="G65" s="44"/>
      <c r="H65" s="45"/>
      <c r="I65" s="58">
        <f>15750+9418.78</f>
        <v>25168.78</v>
      </c>
      <c r="J65" s="46">
        <v>27500</v>
      </c>
      <c r="K65" s="43"/>
      <c r="L65" s="45"/>
      <c r="M65" s="58"/>
      <c r="N65" s="46"/>
      <c r="O65" s="43"/>
      <c r="P65" s="55"/>
      <c r="Q65" s="46"/>
      <c r="R65" s="43"/>
      <c r="S65" s="55"/>
      <c r="T65" s="55"/>
      <c r="U65" s="46"/>
    </row>
    <row r="66" spans="1:21" s="37" customFormat="1" x14ac:dyDescent="0.2">
      <c r="A66" s="38" t="s">
        <v>105</v>
      </c>
      <c r="B66" s="43"/>
      <c r="C66" s="43"/>
      <c r="D66" s="43">
        <v>3264.72</v>
      </c>
      <c r="E66" s="43"/>
      <c r="F66" s="43"/>
      <c r="G66" s="44"/>
      <c r="H66" s="45"/>
      <c r="I66" s="58">
        <f>2169+2175.17</f>
        <v>4344.17</v>
      </c>
      <c r="J66" s="46">
        <v>7500</v>
      </c>
      <c r="K66" s="43"/>
      <c r="L66" s="45"/>
      <c r="M66" s="58"/>
      <c r="N66" s="46"/>
      <c r="O66" s="43"/>
      <c r="P66" s="55"/>
      <c r="Q66" s="46"/>
      <c r="R66" s="43"/>
      <c r="S66" s="55"/>
      <c r="T66" s="55"/>
      <c r="U66" s="46"/>
    </row>
    <row r="67" spans="1:21" s="37" customFormat="1" ht="25.5" x14ac:dyDescent="0.2">
      <c r="A67" s="38" t="s">
        <v>106</v>
      </c>
      <c r="B67" s="43"/>
      <c r="C67" s="43"/>
      <c r="D67" s="43">
        <v>1152.77</v>
      </c>
      <c r="E67" s="43"/>
      <c r="F67" s="43"/>
      <c r="G67" s="44"/>
      <c r="H67" s="45"/>
      <c r="I67" s="58">
        <v>6347.22</v>
      </c>
      <c r="J67" s="46">
        <v>7500</v>
      </c>
      <c r="K67" s="43"/>
      <c r="L67" s="45"/>
      <c r="M67" s="58"/>
      <c r="N67" s="46"/>
      <c r="O67" s="43"/>
      <c r="P67" s="55"/>
      <c r="Q67" s="46"/>
      <c r="R67" s="43"/>
      <c r="S67" s="55"/>
      <c r="T67" s="55"/>
      <c r="U67" s="46"/>
    </row>
    <row r="68" spans="1:21" s="37" customFormat="1" x14ac:dyDescent="0.2">
      <c r="A68" s="38" t="s">
        <v>107</v>
      </c>
      <c r="B68" s="43"/>
      <c r="C68" s="43"/>
      <c r="D68" s="43"/>
      <c r="E68" s="43"/>
      <c r="F68" s="43"/>
      <c r="G68" s="44"/>
      <c r="H68" s="45">
        <v>0</v>
      </c>
      <c r="I68" s="96">
        <v>0</v>
      </c>
      <c r="J68" s="46"/>
      <c r="K68" s="43"/>
      <c r="L68" s="45"/>
      <c r="M68" s="96">
        <v>2500</v>
      </c>
      <c r="N68" s="46"/>
      <c r="O68" s="43"/>
      <c r="P68" s="99">
        <v>15930</v>
      </c>
      <c r="Q68" s="46">
        <v>18430</v>
      </c>
      <c r="R68" s="43"/>
      <c r="S68" s="55"/>
      <c r="T68" s="55"/>
      <c r="U68" s="46"/>
    </row>
    <row r="69" spans="1:21" s="37" customFormat="1" x14ac:dyDescent="0.2">
      <c r="A69" s="38" t="s">
        <v>108</v>
      </c>
      <c r="B69" s="43"/>
      <c r="C69" s="43"/>
      <c r="D69" s="43"/>
      <c r="E69" s="43"/>
      <c r="F69" s="43"/>
      <c r="G69" s="44"/>
      <c r="H69" s="45">
        <v>0</v>
      </c>
      <c r="I69" s="58">
        <v>0</v>
      </c>
      <c r="J69" s="46"/>
      <c r="K69" s="43"/>
      <c r="L69" s="45"/>
      <c r="M69" s="58">
        <v>4200</v>
      </c>
      <c r="N69" s="46"/>
      <c r="O69" s="43"/>
      <c r="P69" s="55">
        <v>12400</v>
      </c>
      <c r="Q69" s="46">
        <v>16600</v>
      </c>
      <c r="R69" s="43"/>
      <c r="S69" s="55"/>
      <c r="T69" s="55"/>
      <c r="U69" s="46"/>
    </row>
    <row r="70" spans="1:21" s="37" customFormat="1" ht="25.5" x14ac:dyDescent="0.2">
      <c r="A70" s="39" t="s">
        <v>77</v>
      </c>
      <c r="B70" s="43"/>
      <c r="C70" s="43"/>
      <c r="D70" s="43"/>
      <c r="E70" s="43">
        <v>15545.26</v>
      </c>
      <c r="F70" s="43"/>
      <c r="G70" s="44"/>
      <c r="H70" s="45"/>
      <c r="I70" s="58"/>
      <c r="J70" s="46"/>
      <c r="K70" s="43"/>
      <c r="L70" s="45"/>
      <c r="M70" s="58"/>
      <c r="N70" s="46"/>
      <c r="O70" s="43"/>
      <c r="P70" s="55"/>
      <c r="Q70" s="46"/>
      <c r="R70" s="43"/>
      <c r="S70" s="55"/>
      <c r="T70" s="55"/>
      <c r="U70" s="46"/>
    </row>
    <row r="71" spans="1:21" s="37" customFormat="1" ht="25.5" x14ac:dyDescent="0.2">
      <c r="A71" s="39" t="s">
        <v>79</v>
      </c>
      <c r="B71" s="43"/>
      <c r="C71" s="43"/>
      <c r="D71" s="43">
        <v>1156.56</v>
      </c>
      <c r="E71" s="43">
        <v>11447.35</v>
      </c>
      <c r="F71" s="43"/>
      <c r="G71" s="44"/>
      <c r="H71" s="45"/>
      <c r="I71" s="58"/>
      <c r="J71" s="46"/>
      <c r="K71" s="43"/>
      <c r="L71" s="45"/>
      <c r="M71" s="58"/>
      <c r="N71" s="46"/>
      <c r="O71" s="43"/>
      <c r="P71" s="55"/>
      <c r="Q71" s="46"/>
      <c r="R71" s="43"/>
      <c r="S71" s="55"/>
      <c r="T71" s="55"/>
      <c r="U71" s="46"/>
    </row>
    <row r="72" spans="1:21" s="37" customFormat="1" x14ac:dyDescent="0.2">
      <c r="A72" s="39" t="s">
        <v>78</v>
      </c>
      <c r="B72" s="43"/>
      <c r="C72" s="43"/>
      <c r="D72" s="43"/>
      <c r="E72" s="43"/>
      <c r="F72" s="43"/>
      <c r="G72" s="44"/>
      <c r="H72" s="45"/>
      <c r="I72" s="58"/>
      <c r="J72" s="46"/>
      <c r="K72" s="43"/>
      <c r="L72" s="45"/>
      <c r="M72" s="58"/>
      <c r="N72" s="46"/>
      <c r="O72" s="43"/>
      <c r="P72" s="55"/>
      <c r="Q72" s="46"/>
      <c r="R72" s="43"/>
      <c r="S72" s="55"/>
      <c r="T72" s="55"/>
      <c r="U72" s="46"/>
    </row>
    <row r="73" spans="1:21" s="37" customFormat="1" x14ac:dyDescent="0.2">
      <c r="A73" s="39" t="s">
        <v>80</v>
      </c>
      <c r="B73" s="43"/>
      <c r="C73" s="43"/>
      <c r="D73" s="43">
        <v>2148.46</v>
      </c>
      <c r="E73" s="43"/>
      <c r="F73" s="43"/>
      <c r="G73" s="44"/>
      <c r="H73" s="45"/>
      <c r="I73" s="58">
        <f>5292+3701.2</f>
        <v>8993.2000000000007</v>
      </c>
      <c r="J73" s="46">
        <v>11142</v>
      </c>
      <c r="K73" s="43"/>
      <c r="L73" s="45"/>
      <c r="M73" s="58"/>
      <c r="N73" s="46"/>
      <c r="O73" s="43"/>
      <c r="P73" s="55"/>
      <c r="Q73" s="46"/>
      <c r="R73" s="43"/>
      <c r="S73" s="55"/>
      <c r="T73" s="55"/>
      <c r="U73" s="46"/>
    </row>
    <row r="74" spans="1:21" s="37" customFormat="1" ht="25.5" x14ac:dyDescent="0.2">
      <c r="A74" s="39" t="s">
        <v>81</v>
      </c>
      <c r="B74" s="43"/>
      <c r="C74" s="43"/>
      <c r="D74" s="43"/>
      <c r="E74" s="43"/>
      <c r="F74" s="43"/>
      <c r="G74" s="44"/>
      <c r="H74" s="45"/>
      <c r="I74" s="58"/>
      <c r="J74" s="46"/>
      <c r="K74" s="43"/>
      <c r="L74" s="45"/>
      <c r="M74" s="58">
        <v>3473</v>
      </c>
      <c r="N74" s="46"/>
      <c r="O74" s="43"/>
      <c r="P74" s="55"/>
      <c r="Q74" s="46">
        <v>3473</v>
      </c>
      <c r="R74" s="43"/>
      <c r="S74" s="55"/>
      <c r="T74" s="55"/>
      <c r="U74" s="46"/>
    </row>
    <row r="75" spans="1:21" s="37" customFormat="1" x14ac:dyDescent="0.2">
      <c r="A75" s="39" t="s">
        <v>82</v>
      </c>
      <c r="B75" s="43"/>
      <c r="C75" s="43"/>
      <c r="D75" s="43"/>
      <c r="E75" s="43"/>
      <c r="F75" s="43"/>
      <c r="G75" s="44"/>
      <c r="H75" s="45"/>
      <c r="I75" s="58"/>
      <c r="J75" s="46"/>
      <c r="K75" s="43"/>
      <c r="L75" s="45"/>
      <c r="M75" s="58">
        <v>4096</v>
      </c>
      <c r="N75" s="46"/>
      <c r="O75" s="43"/>
      <c r="P75" s="55"/>
      <c r="Q75" s="46">
        <v>4096</v>
      </c>
      <c r="R75" s="43"/>
      <c r="S75" s="55"/>
      <c r="T75" s="55"/>
      <c r="U75" s="46"/>
    </row>
    <row r="76" spans="1:21" s="37" customFormat="1" x14ac:dyDescent="0.2">
      <c r="A76" s="39" t="s">
        <v>83</v>
      </c>
      <c r="B76" s="43"/>
      <c r="C76" s="43"/>
      <c r="D76" s="43"/>
      <c r="E76" s="43"/>
      <c r="F76" s="43"/>
      <c r="G76" s="44"/>
      <c r="H76" s="45"/>
      <c r="I76" s="58"/>
      <c r="J76" s="46"/>
      <c r="K76" s="43"/>
      <c r="L76" s="45"/>
      <c r="M76" s="58">
        <v>3819</v>
      </c>
      <c r="N76" s="46"/>
      <c r="O76" s="43"/>
      <c r="P76" s="55"/>
      <c r="Q76" s="46">
        <v>3819</v>
      </c>
      <c r="R76" s="43"/>
      <c r="S76" s="55"/>
      <c r="T76" s="55"/>
      <c r="U76" s="46"/>
    </row>
    <row r="77" spans="1:21" s="37" customFormat="1" x14ac:dyDescent="0.2">
      <c r="A77" s="39" t="s">
        <v>84</v>
      </c>
      <c r="B77" s="43"/>
      <c r="C77" s="43"/>
      <c r="D77" s="43"/>
      <c r="E77" s="43"/>
      <c r="F77" s="43"/>
      <c r="G77" s="44"/>
      <c r="H77" s="45"/>
      <c r="I77" s="58"/>
      <c r="J77" s="46"/>
      <c r="K77" s="43"/>
      <c r="L77" s="45"/>
      <c r="M77" s="58">
        <v>7264</v>
      </c>
      <c r="N77" s="46"/>
      <c r="O77" s="43"/>
      <c r="P77" s="55"/>
      <c r="Q77" s="46">
        <v>7264</v>
      </c>
      <c r="R77" s="43"/>
      <c r="S77" s="55"/>
      <c r="T77" s="55"/>
      <c r="U77" s="46"/>
    </row>
    <row r="78" spans="1:21" s="37" customFormat="1" x14ac:dyDescent="0.2">
      <c r="A78" s="39" t="s">
        <v>85</v>
      </c>
      <c r="B78" s="43"/>
      <c r="C78" s="43"/>
      <c r="D78" s="43"/>
      <c r="E78" s="43"/>
      <c r="F78" s="43"/>
      <c r="G78" s="44"/>
      <c r="H78" s="45"/>
      <c r="I78" s="58"/>
      <c r="J78" s="46"/>
      <c r="K78" s="43"/>
      <c r="L78" s="45"/>
      <c r="M78" s="58">
        <v>12270</v>
      </c>
      <c r="N78" s="46"/>
      <c r="O78" s="43"/>
      <c r="P78" s="55"/>
      <c r="Q78" s="46">
        <v>12270</v>
      </c>
      <c r="R78" s="43"/>
      <c r="S78" s="55"/>
      <c r="T78" s="55"/>
      <c r="U78" s="46"/>
    </row>
    <row r="79" spans="1:21" s="37" customFormat="1" x14ac:dyDescent="0.2">
      <c r="A79" s="39" t="s">
        <v>86</v>
      </c>
      <c r="B79" s="43"/>
      <c r="C79" s="43"/>
      <c r="D79" s="43"/>
      <c r="E79" s="43"/>
      <c r="F79" s="43"/>
      <c r="G79" s="44"/>
      <c r="H79" s="45"/>
      <c r="I79" s="58"/>
      <c r="J79" s="46"/>
      <c r="K79" s="43"/>
      <c r="L79" s="45"/>
      <c r="M79" s="58">
        <v>1561</v>
      </c>
      <c r="N79" s="46"/>
      <c r="O79" s="43"/>
      <c r="P79" s="55"/>
      <c r="Q79" s="46">
        <v>1561</v>
      </c>
      <c r="R79" s="43"/>
      <c r="S79" s="55"/>
      <c r="T79" s="55"/>
      <c r="U79" s="46"/>
    </row>
    <row r="80" spans="1:21" s="37" customFormat="1" x14ac:dyDescent="0.2">
      <c r="A80" s="39" t="s">
        <v>87</v>
      </c>
      <c r="B80" s="43"/>
      <c r="C80" s="43"/>
      <c r="D80" s="43"/>
      <c r="E80" s="43"/>
      <c r="F80" s="43"/>
      <c r="G80" s="44"/>
      <c r="H80" s="45"/>
      <c r="I80" s="58"/>
      <c r="J80" s="46"/>
      <c r="K80" s="43"/>
      <c r="L80" s="45"/>
      <c r="M80" s="58">
        <v>7683</v>
      </c>
      <c r="N80" s="46"/>
      <c r="O80" s="43"/>
      <c r="P80" s="55"/>
      <c r="Q80" s="46">
        <v>7683</v>
      </c>
      <c r="R80" s="43"/>
      <c r="S80" s="55"/>
      <c r="T80" s="55"/>
      <c r="U80" s="46"/>
    </row>
    <row r="81" spans="1:21" s="37" customFormat="1" x14ac:dyDescent="0.2">
      <c r="A81" s="39" t="s">
        <v>88</v>
      </c>
      <c r="B81" s="43"/>
      <c r="C81" s="43"/>
      <c r="D81" s="43"/>
      <c r="E81" s="43"/>
      <c r="F81" s="43"/>
      <c r="G81" s="44"/>
      <c r="H81" s="45"/>
      <c r="I81" s="58"/>
      <c r="J81" s="46"/>
      <c r="K81" s="43"/>
      <c r="L81" s="45"/>
      <c r="M81" s="58">
        <v>10928</v>
      </c>
      <c r="N81" s="46"/>
      <c r="O81" s="43"/>
      <c r="P81" s="55"/>
      <c r="Q81" s="46">
        <v>10928</v>
      </c>
      <c r="R81" s="43"/>
      <c r="S81" s="55"/>
      <c r="T81" s="55"/>
      <c r="U81" s="46"/>
    </row>
    <row r="82" spans="1:21" s="37" customFormat="1" x14ac:dyDescent="0.2">
      <c r="A82" s="39" t="s">
        <v>89</v>
      </c>
      <c r="B82" s="43"/>
      <c r="C82" s="43"/>
      <c r="D82" s="43"/>
      <c r="E82" s="43"/>
      <c r="F82" s="43"/>
      <c r="G82" s="44"/>
      <c r="H82" s="45"/>
      <c r="I82" s="58"/>
      <c r="J82" s="46"/>
      <c r="K82" s="43"/>
      <c r="L82" s="45"/>
      <c r="M82" s="58">
        <v>3356</v>
      </c>
      <c r="N82" s="46"/>
      <c r="O82" s="43"/>
      <c r="P82" s="55"/>
      <c r="Q82" s="46">
        <v>3356</v>
      </c>
      <c r="R82" s="43"/>
      <c r="S82" s="55"/>
      <c r="T82" s="55"/>
      <c r="U82" s="46"/>
    </row>
    <row r="83" spans="1:21" s="37" customFormat="1" x14ac:dyDescent="0.2">
      <c r="A83" s="39" t="s">
        <v>90</v>
      </c>
      <c r="B83" s="43"/>
      <c r="C83" s="43"/>
      <c r="D83" s="43"/>
      <c r="E83" s="43"/>
      <c r="F83" s="43"/>
      <c r="G83" s="44"/>
      <c r="H83" s="45"/>
      <c r="I83" s="58"/>
      <c r="J83" s="46"/>
      <c r="K83" s="43"/>
      <c r="L83" s="45"/>
      <c r="M83" s="58">
        <v>2380</v>
      </c>
      <c r="N83" s="46"/>
      <c r="O83" s="43"/>
      <c r="P83" s="55"/>
      <c r="Q83" s="46">
        <v>2380</v>
      </c>
      <c r="R83" s="43"/>
      <c r="S83" s="55"/>
      <c r="T83" s="55"/>
      <c r="U83" s="46"/>
    </row>
    <row r="84" spans="1:21" s="37" customFormat="1" x14ac:dyDescent="0.2">
      <c r="A84" s="39" t="s">
        <v>155</v>
      </c>
      <c r="B84" s="43"/>
      <c r="C84" s="43"/>
      <c r="D84" s="43"/>
      <c r="E84" s="43"/>
      <c r="F84" s="43"/>
      <c r="G84" s="44"/>
      <c r="H84" s="45"/>
      <c r="I84" s="58"/>
      <c r="J84" s="46"/>
      <c r="K84" s="43"/>
      <c r="L84" s="43"/>
      <c r="M84" s="96">
        <v>7850</v>
      </c>
      <c r="N84" s="97">
        <v>7850</v>
      </c>
      <c r="O84" s="43"/>
      <c r="P84" s="55"/>
      <c r="Q84" s="46"/>
      <c r="R84" s="43"/>
      <c r="S84" s="55"/>
      <c r="T84" s="55"/>
      <c r="U84" s="46"/>
    </row>
    <row r="85" spans="1:21" s="37" customFormat="1" x14ac:dyDescent="0.2">
      <c r="A85" s="39" t="s">
        <v>156</v>
      </c>
      <c r="B85" s="43"/>
      <c r="C85" s="43"/>
      <c r="D85" s="43"/>
      <c r="E85" s="43"/>
      <c r="F85" s="43"/>
      <c r="G85" s="44"/>
      <c r="H85" s="45"/>
      <c r="I85" s="58"/>
      <c r="J85" s="46"/>
      <c r="K85" s="43"/>
      <c r="L85" s="43"/>
      <c r="M85" s="96">
        <v>0</v>
      </c>
      <c r="N85" s="97">
        <v>0</v>
      </c>
      <c r="O85" s="43"/>
      <c r="P85" s="99">
        <v>3800</v>
      </c>
      <c r="Q85" s="97">
        <v>3800</v>
      </c>
      <c r="R85" s="43"/>
      <c r="S85" s="55"/>
      <c r="T85" s="55"/>
      <c r="U85" s="46"/>
    </row>
    <row r="86" spans="1:21" s="37" customFormat="1" ht="25.5" x14ac:dyDescent="0.2">
      <c r="A86" s="39" t="s">
        <v>157</v>
      </c>
      <c r="B86" s="43"/>
      <c r="C86" s="43"/>
      <c r="D86" s="43"/>
      <c r="E86" s="43"/>
      <c r="F86" s="43"/>
      <c r="G86" s="44"/>
      <c r="H86" s="45"/>
      <c r="I86" s="58"/>
      <c r="J86" s="46"/>
      <c r="K86" s="43"/>
      <c r="L86" s="43"/>
      <c r="M86" s="96">
        <v>9600</v>
      </c>
      <c r="N86" s="97">
        <v>9600</v>
      </c>
      <c r="O86" s="43"/>
      <c r="P86" s="55"/>
      <c r="Q86" s="46"/>
      <c r="R86" s="43"/>
      <c r="S86" s="55"/>
      <c r="T86" s="55"/>
      <c r="U86" s="46"/>
    </row>
    <row r="87" spans="1:21" s="37" customFormat="1" x14ac:dyDescent="0.2">
      <c r="A87" s="39" t="s">
        <v>158</v>
      </c>
      <c r="B87" s="43"/>
      <c r="C87" s="43"/>
      <c r="D87" s="43"/>
      <c r="E87" s="43"/>
      <c r="F87" s="43"/>
      <c r="G87" s="44"/>
      <c r="H87" s="45"/>
      <c r="I87" s="58"/>
      <c r="J87" s="46"/>
      <c r="K87" s="43"/>
      <c r="L87" s="43"/>
      <c r="M87" s="96">
        <v>11700</v>
      </c>
      <c r="N87" s="97">
        <v>11700</v>
      </c>
      <c r="O87" s="43"/>
      <c r="P87" s="55"/>
      <c r="Q87" s="46"/>
      <c r="R87" s="43"/>
      <c r="S87" s="55"/>
      <c r="T87" s="55"/>
      <c r="U87" s="46"/>
    </row>
    <row r="88" spans="1:21" s="37" customFormat="1" ht="25.5" x14ac:dyDescent="0.2">
      <c r="A88" s="39" t="s">
        <v>159</v>
      </c>
      <c r="B88" s="43"/>
      <c r="C88" s="43"/>
      <c r="D88" s="43"/>
      <c r="E88" s="43"/>
      <c r="F88" s="43"/>
      <c r="G88" s="44"/>
      <c r="H88" s="45"/>
      <c r="I88" s="58"/>
      <c r="J88" s="46"/>
      <c r="K88" s="43"/>
      <c r="L88" s="43"/>
      <c r="M88" s="96">
        <v>13800</v>
      </c>
      <c r="N88" s="97">
        <v>13800</v>
      </c>
      <c r="O88" s="43"/>
      <c r="P88" s="55"/>
      <c r="Q88" s="46"/>
      <c r="R88" s="43"/>
      <c r="S88" s="55"/>
      <c r="T88" s="55"/>
      <c r="U88" s="46"/>
    </row>
    <row r="89" spans="1:21" x14ac:dyDescent="0.2">
      <c r="A89" s="16" t="s">
        <v>7</v>
      </c>
      <c r="B89" s="23"/>
      <c r="C89" s="23"/>
      <c r="D89" s="23"/>
      <c r="E89" s="23"/>
      <c r="F89" s="23">
        <v>162175.28</v>
      </c>
      <c r="G89" s="6"/>
      <c r="H89" s="6">
        <v>22700</v>
      </c>
      <c r="I89" s="59"/>
      <c r="J89" s="24"/>
      <c r="K89" s="23"/>
      <c r="L89" s="6">
        <v>500</v>
      </c>
      <c r="M89" s="59"/>
      <c r="N89" s="24"/>
      <c r="O89" s="23"/>
      <c r="P89" s="56"/>
      <c r="Q89" s="24"/>
      <c r="R89" s="23"/>
      <c r="S89" s="56"/>
      <c r="T89" s="56"/>
      <c r="U89" s="24"/>
    </row>
    <row r="90" spans="1:21" x14ac:dyDescent="0.2">
      <c r="A90" s="16" t="s">
        <v>8</v>
      </c>
      <c r="B90" s="23"/>
      <c r="C90" s="23"/>
      <c r="D90" s="23"/>
      <c r="E90" s="23"/>
      <c r="F90" s="23"/>
      <c r="G90" s="6"/>
      <c r="H90" s="104">
        <v>34598</v>
      </c>
      <c r="I90" s="59"/>
      <c r="J90" s="24"/>
      <c r="K90" s="47"/>
      <c r="L90" s="104">
        <v>16000</v>
      </c>
      <c r="M90" s="59"/>
      <c r="N90" s="24"/>
      <c r="O90" s="106">
        <v>0</v>
      </c>
      <c r="P90" s="56"/>
      <c r="Q90" s="24"/>
      <c r="R90" s="23"/>
      <c r="S90" s="56"/>
      <c r="T90" s="56"/>
      <c r="U90" s="24"/>
    </row>
    <row r="91" spans="1:21" x14ac:dyDescent="0.2">
      <c r="A91" s="16" t="s">
        <v>9</v>
      </c>
      <c r="B91" s="23"/>
      <c r="C91" s="23"/>
      <c r="D91" s="23"/>
      <c r="E91" s="23"/>
      <c r="F91" s="23"/>
      <c r="G91" s="6"/>
      <c r="H91" s="6">
        <v>5500</v>
      </c>
      <c r="I91" s="59"/>
      <c r="J91" s="24"/>
      <c r="K91" s="47"/>
      <c r="L91" s="6"/>
      <c r="M91" s="59"/>
      <c r="N91" s="24"/>
      <c r="O91" s="23"/>
      <c r="P91" s="56"/>
      <c r="Q91" s="24"/>
      <c r="R91" s="23"/>
      <c r="S91" s="56"/>
      <c r="T91" s="56"/>
      <c r="U91" s="24"/>
    </row>
    <row r="92" spans="1:21" x14ac:dyDescent="0.2">
      <c r="A92" s="16" t="s">
        <v>10</v>
      </c>
      <c r="B92" s="23"/>
      <c r="C92" s="23"/>
      <c r="D92" s="23"/>
      <c r="E92" s="23"/>
      <c r="F92" s="23"/>
      <c r="G92" s="6"/>
      <c r="H92" s="6">
        <v>30200</v>
      </c>
      <c r="I92" s="59"/>
      <c r="J92" s="24"/>
      <c r="K92" s="23"/>
      <c r="L92" s="6"/>
      <c r="M92" s="59"/>
      <c r="N92" s="24"/>
      <c r="O92" s="23"/>
      <c r="P92" s="56"/>
      <c r="Q92" s="24"/>
      <c r="R92" s="23"/>
      <c r="S92" s="56"/>
      <c r="T92" s="56"/>
      <c r="U92" s="24"/>
    </row>
    <row r="93" spans="1:21" x14ac:dyDescent="0.2">
      <c r="A93" s="16" t="s">
        <v>11</v>
      </c>
      <c r="B93" s="23"/>
      <c r="C93" s="23"/>
      <c r="D93" s="23"/>
      <c r="E93" s="23"/>
      <c r="F93" s="23"/>
      <c r="G93" s="6"/>
      <c r="H93" s="6">
        <v>15000</v>
      </c>
      <c r="I93" s="59"/>
      <c r="J93" s="24"/>
      <c r="K93" s="23"/>
      <c r="L93" s="6"/>
      <c r="M93" s="59"/>
      <c r="N93" s="24"/>
      <c r="O93" s="23"/>
      <c r="P93" s="56"/>
      <c r="Q93" s="24"/>
      <c r="R93" s="23"/>
      <c r="S93" s="56"/>
      <c r="T93" s="56"/>
      <c r="U93" s="24"/>
    </row>
    <row r="94" spans="1:21" x14ac:dyDescent="0.2">
      <c r="A94" s="16" t="s">
        <v>12</v>
      </c>
      <c r="B94" s="23"/>
      <c r="C94" s="23"/>
      <c r="D94" s="23"/>
      <c r="E94" s="23"/>
      <c r="F94" s="23"/>
      <c r="G94" s="6"/>
      <c r="H94" s="104">
        <v>0</v>
      </c>
      <c r="I94" s="59"/>
      <c r="J94" s="24"/>
      <c r="K94" s="23"/>
      <c r="L94" s="104">
        <v>52090</v>
      </c>
      <c r="M94" s="59"/>
      <c r="N94" s="24"/>
      <c r="O94" s="23"/>
      <c r="P94" s="56"/>
      <c r="Q94" s="24"/>
      <c r="R94" s="23"/>
      <c r="S94" s="56"/>
      <c r="T94" s="56"/>
      <c r="U94" s="24"/>
    </row>
    <row r="95" spans="1:21" x14ac:dyDescent="0.2">
      <c r="A95" s="16" t="s">
        <v>13</v>
      </c>
      <c r="B95" s="23"/>
      <c r="C95" s="23"/>
      <c r="D95" s="23"/>
      <c r="E95" s="23"/>
      <c r="F95" s="23"/>
      <c r="G95" s="6"/>
      <c r="H95" s="104">
        <v>40000</v>
      </c>
      <c r="I95" s="59"/>
      <c r="J95" s="24"/>
      <c r="K95" s="47"/>
      <c r="L95" s="104">
        <v>0</v>
      </c>
      <c r="M95" s="59"/>
      <c r="N95" s="24"/>
      <c r="O95" s="23"/>
      <c r="P95" s="56"/>
      <c r="Q95" s="24"/>
      <c r="R95" s="23"/>
      <c r="S95" s="56"/>
      <c r="T95" s="56"/>
      <c r="U95" s="24"/>
    </row>
    <row r="96" spans="1:21" x14ac:dyDescent="0.2">
      <c r="A96" s="19" t="s">
        <v>14</v>
      </c>
      <c r="B96" s="23"/>
      <c r="C96" s="23"/>
      <c r="D96" s="23"/>
      <c r="E96" s="23"/>
      <c r="F96" s="23"/>
      <c r="G96" s="6"/>
      <c r="H96" s="104">
        <v>5000</v>
      </c>
      <c r="I96" s="59"/>
      <c r="J96" s="24"/>
      <c r="K96" s="47"/>
      <c r="L96" s="104">
        <v>46139</v>
      </c>
      <c r="M96" s="59"/>
      <c r="N96" s="24"/>
      <c r="O96" s="23"/>
      <c r="P96" s="56"/>
      <c r="Q96" s="24"/>
      <c r="R96" s="23"/>
      <c r="S96" s="56"/>
      <c r="T96" s="56"/>
      <c r="U96" s="24"/>
    </row>
    <row r="97" spans="1:21" x14ac:dyDescent="0.2">
      <c r="A97" s="16" t="s">
        <v>15</v>
      </c>
      <c r="B97" s="23"/>
      <c r="C97" s="23"/>
      <c r="D97" s="23"/>
      <c r="E97" s="23"/>
      <c r="F97" s="23"/>
      <c r="G97" s="6"/>
      <c r="H97" s="104">
        <v>20571</v>
      </c>
      <c r="I97" s="59"/>
      <c r="J97" s="24"/>
      <c r="K97" s="47"/>
      <c r="L97" s="104">
        <v>113428</v>
      </c>
      <c r="M97" s="59"/>
      <c r="N97" s="24"/>
      <c r="O97" s="106">
        <v>42000</v>
      </c>
      <c r="P97" s="56"/>
      <c r="Q97" s="24"/>
      <c r="R97" s="23"/>
      <c r="S97" s="56"/>
      <c r="T97" s="56"/>
      <c r="U97" s="24"/>
    </row>
    <row r="98" spans="1:21" ht="25.5" x14ac:dyDescent="0.2">
      <c r="A98" s="16" t="s">
        <v>35</v>
      </c>
      <c r="B98" s="23"/>
      <c r="C98" s="23"/>
      <c r="D98" s="23"/>
      <c r="E98" s="23"/>
      <c r="F98" s="23"/>
      <c r="G98" s="6"/>
      <c r="H98" s="6">
        <v>6200</v>
      </c>
      <c r="I98" s="59"/>
      <c r="J98" s="24"/>
      <c r="K98" s="23"/>
      <c r="L98" s="6"/>
      <c r="M98" s="59"/>
      <c r="N98" s="24"/>
      <c r="O98" s="23"/>
      <c r="P98" s="56"/>
      <c r="Q98" s="24"/>
      <c r="R98" s="23"/>
      <c r="S98" s="56"/>
      <c r="T98" s="56"/>
      <c r="U98" s="24"/>
    </row>
    <row r="99" spans="1:21" x14ac:dyDescent="0.2">
      <c r="A99" s="16" t="s">
        <v>16</v>
      </c>
      <c r="B99" s="23"/>
      <c r="C99" s="23"/>
      <c r="D99" s="23"/>
      <c r="E99" s="23"/>
      <c r="F99" s="23"/>
      <c r="G99" s="6"/>
      <c r="H99" s="104">
        <v>0</v>
      </c>
      <c r="I99" s="59"/>
      <c r="J99" s="24"/>
      <c r="K99" s="47"/>
      <c r="L99" s="104">
        <v>5500</v>
      </c>
      <c r="M99" s="59"/>
      <c r="N99" s="24"/>
      <c r="O99" s="106">
        <v>25000</v>
      </c>
      <c r="P99" s="56"/>
      <c r="Q99" s="24"/>
      <c r="R99" s="23"/>
      <c r="S99" s="56"/>
      <c r="T99" s="56"/>
      <c r="U99" s="24"/>
    </row>
    <row r="100" spans="1:21" x14ac:dyDescent="0.2">
      <c r="A100" s="16" t="s">
        <v>17</v>
      </c>
      <c r="B100" s="23"/>
      <c r="C100" s="23"/>
      <c r="D100" s="23"/>
      <c r="E100" s="23"/>
      <c r="F100" s="23"/>
      <c r="G100" s="6"/>
      <c r="H100" s="6">
        <v>51000</v>
      </c>
      <c r="I100" s="59"/>
      <c r="J100" s="24"/>
      <c r="K100" s="23"/>
      <c r="L100" s="6"/>
      <c r="M100" s="59"/>
      <c r="N100" s="24"/>
      <c r="O100" s="23"/>
      <c r="P100" s="56"/>
      <c r="Q100" s="24"/>
      <c r="R100" s="23"/>
      <c r="S100" s="56"/>
      <c r="T100" s="56"/>
      <c r="U100" s="24"/>
    </row>
    <row r="101" spans="1:21" ht="38.25" x14ac:dyDescent="0.2">
      <c r="A101" s="16" t="s">
        <v>34</v>
      </c>
      <c r="B101" s="23"/>
      <c r="C101" s="23"/>
      <c r="D101" s="23"/>
      <c r="E101" s="23"/>
      <c r="F101" s="23"/>
      <c r="G101" s="6"/>
      <c r="H101" s="104">
        <v>10000</v>
      </c>
      <c r="I101" s="59"/>
      <c r="J101" s="24"/>
      <c r="K101" s="23"/>
      <c r="L101" s="104">
        <v>28000</v>
      </c>
      <c r="M101" s="59"/>
      <c r="N101" s="24"/>
      <c r="O101" s="23"/>
      <c r="P101" s="56"/>
      <c r="Q101" s="24"/>
      <c r="R101" s="23"/>
      <c r="S101" s="56"/>
      <c r="T101" s="56"/>
      <c r="U101" s="24"/>
    </row>
    <row r="102" spans="1:21" x14ac:dyDescent="0.2">
      <c r="A102" s="16" t="s">
        <v>18</v>
      </c>
      <c r="B102" s="23"/>
      <c r="C102" s="23"/>
      <c r="D102" s="23"/>
      <c r="E102" s="23"/>
      <c r="F102" s="23"/>
      <c r="G102" s="6"/>
      <c r="H102" s="104">
        <v>45000</v>
      </c>
      <c r="I102" s="59"/>
      <c r="J102" s="24"/>
      <c r="K102" s="47"/>
      <c r="L102" s="104">
        <v>0</v>
      </c>
      <c r="M102" s="59"/>
      <c r="N102" s="24"/>
      <c r="O102" s="23"/>
      <c r="P102" s="56"/>
      <c r="Q102" s="24"/>
      <c r="R102" s="23"/>
      <c r="S102" s="56"/>
      <c r="T102" s="56"/>
      <c r="U102" s="24"/>
    </row>
    <row r="103" spans="1:21" s="8" customFormat="1" x14ac:dyDescent="0.2">
      <c r="A103" s="17" t="s">
        <v>28</v>
      </c>
      <c r="B103" s="25">
        <f t="shared" ref="B103:R103" si="3">SUM(B63:B102)</f>
        <v>0</v>
      </c>
      <c r="C103" s="25">
        <f t="shared" si="3"/>
        <v>0</v>
      </c>
      <c r="D103" s="25">
        <f t="shared" si="3"/>
        <v>11784.489999999998</v>
      </c>
      <c r="E103" s="25">
        <f t="shared" si="3"/>
        <v>26992.61</v>
      </c>
      <c r="F103" s="25">
        <f t="shared" si="3"/>
        <v>162175.28</v>
      </c>
      <c r="G103" s="1">
        <f t="shared" si="3"/>
        <v>0</v>
      </c>
      <c r="H103" s="1">
        <f t="shared" si="3"/>
        <v>285769</v>
      </c>
      <c r="I103" s="60">
        <f t="shared" si="3"/>
        <v>49612.67</v>
      </c>
      <c r="J103" s="63">
        <f t="shared" si="3"/>
        <v>60132</v>
      </c>
      <c r="K103" s="25">
        <f t="shared" si="3"/>
        <v>0</v>
      </c>
      <c r="L103" s="1">
        <f>SUM(L63:L102)</f>
        <v>261657</v>
      </c>
      <c r="M103" s="1">
        <f t="shared" ref="M103:N103" si="4">SUM(M63:M102)</f>
        <v>112480</v>
      </c>
      <c r="N103" s="1">
        <f t="shared" si="4"/>
        <v>42950</v>
      </c>
      <c r="O103" s="25">
        <f t="shared" si="3"/>
        <v>67000</v>
      </c>
      <c r="P103" s="15">
        <f t="shared" si="3"/>
        <v>46330</v>
      </c>
      <c r="Q103" s="26">
        <f t="shared" si="3"/>
        <v>115860</v>
      </c>
      <c r="R103" s="25">
        <f t="shared" si="3"/>
        <v>0</v>
      </c>
      <c r="S103" s="15"/>
      <c r="T103" s="15">
        <f>SUM(T63:T102)</f>
        <v>0</v>
      </c>
      <c r="U103" s="26">
        <f>SUM(U63:U102)</f>
        <v>0</v>
      </c>
    </row>
    <row r="104" spans="1:21" s="37" customFormat="1" x14ac:dyDescent="0.2">
      <c r="A104" s="40" t="s">
        <v>91</v>
      </c>
      <c r="B104" s="43"/>
      <c r="C104" s="43"/>
      <c r="D104" s="43"/>
      <c r="E104" s="43"/>
      <c r="F104" s="43"/>
      <c r="G104" s="44"/>
      <c r="H104" s="45"/>
      <c r="I104" s="58"/>
      <c r="J104" s="46"/>
      <c r="K104" s="43"/>
      <c r="L104" s="45"/>
      <c r="M104" s="58"/>
      <c r="N104" s="46"/>
      <c r="O104" s="43"/>
      <c r="P104" s="99">
        <v>0</v>
      </c>
      <c r="Q104" s="97">
        <v>0</v>
      </c>
      <c r="R104" s="23"/>
      <c r="S104" s="56"/>
      <c r="T104" s="56"/>
      <c r="U104" s="24"/>
    </row>
    <row r="105" spans="1:21" s="37" customFormat="1" ht="25.5" x14ac:dyDescent="0.2">
      <c r="A105" s="72" t="s">
        <v>144</v>
      </c>
      <c r="B105" s="43"/>
      <c r="C105" s="43"/>
      <c r="D105" s="43">
        <v>19688.03</v>
      </c>
      <c r="E105" s="43"/>
      <c r="F105" s="43"/>
      <c r="G105" s="44"/>
      <c r="H105" s="45"/>
      <c r="I105" s="58"/>
      <c r="J105" s="46">
        <v>19738.099999999999</v>
      </c>
      <c r="K105" s="43"/>
      <c r="L105" s="45"/>
      <c r="M105" s="58"/>
      <c r="N105" s="46"/>
      <c r="O105" s="43"/>
      <c r="P105" s="55"/>
      <c r="Q105" s="46"/>
      <c r="R105" s="23"/>
      <c r="S105" s="56"/>
      <c r="T105" s="56"/>
      <c r="U105" s="24"/>
    </row>
    <row r="106" spans="1:21" s="8" customFormat="1" x14ac:dyDescent="0.2">
      <c r="A106" s="100" t="s">
        <v>165</v>
      </c>
      <c r="B106" s="43"/>
      <c r="C106" s="43"/>
      <c r="D106" s="43"/>
      <c r="E106" s="43"/>
      <c r="F106" s="43"/>
      <c r="G106" s="44"/>
      <c r="H106" s="45"/>
      <c r="I106" s="58">
        <v>0</v>
      </c>
      <c r="J106" s="46"/>
      <c r="K106" s="43"/>
      <c r="L106" s="45"/>
      <c r="M106" s="96">
        <v>45900</v>
      </c>
      <c r="N106" s="96">
        <v>28000</v>
      </c>
      <c r="O106" s="43"/>
      <c r="P106" s="99">
        <v>2520</v>
      </c>
      <c r="Q106" s="97">
        <v>20420</v>
      </c>
      <c r="R106" s="43"/>
      <c r="S106" s="55"/>
      <c r="T106" s="55"/>
      <c r="U106" s="46"/>
    </row>
    <row r="107" spans="1:21" s="8" customFormat="1" x14ac:dyDescent="0.2">
      <c r="A107" s="100" t="s">
        <v>166</v>
      </c>
      <c r="B107" s="43"/>
      <c r="C107" s="43"/>
      <c r="D107" s="43"/>
      <c r="E107" s="43"/>
      <c r="F107" s="43"/>
      <c r="G107" s="44"/>
      <c r="H107" s="45"/>
      <c r="I107" s="58">
        <v>0</v>
      </c>
      <c r="J107" s="46"/>
      <c r="K107" s="43"/>
      <c r="L107" s="45"/>
      <c r="M107" s="96">
        <v>14989</v>
      </c>
      <c r="N107" s="96">
        <v>14989</v>
      </c>
      <c r="O107" s="43"/>
      <c r="P107" s="55"/>
      <c r="Q107" s="46"/>
      <c r="R107" s="43"/>
      <c r="S107" s="55"/>
      <c r="T107" s="55"/>
      <c r="U107" s="46"/>
    </row>
    <row r="108" spans="1:21" s="8" customFormat="1" x14ac:dyDescent="0.2">
      <c r="A108" s="100" t="s">
        <v>167</v>
      </c>
      <c r="B108" s="43"/>
      <c r="C108" s="43"/>
      <c r="D108" s="43"/>
      <c r="E108" s="43"/>
      <c r="F108" s="43"/>
      <c r="G108" s="44"/>
      <c r="H108" s="45"/>
      <c r="I108" s="58">
        <v>0</v>
      </c>
      <c r="J108" s="46"/>
      <c r="K108" s="43"/>
      <c r="L108" s="45"/>
      <c r="M108" s="96">
        <v>2790</v>
      </c>
      <c r="N108" s="58"/>
      <c r="O108" s="43"/>
      <c r="P108" s="99">
        <v>21330</v>
      </c>
      <c r="Q108" s="97">
        <v>24120</v>
      </c>
      <c r="R108" s="43"/>
      <c r="S108" s="55"/>
      <c r="T108" s="55"/>
      <c r="U108" s="46"/>
    </row>
    <row r="109" spans="1:21" x14ac:dyDescent="0.2">
      <c r="A109" s="20" t="s">
        <v>19</v>
      </c>
      <c r="B109" s="23"/>
      <c r="C109" s="23"/>
      <c r="D109" s="23"/>
      <c r="E109" s="23"/>
      <c r="F109" s="23"/>
      <c r="G109" s="6"/>
      <c r="H109" s="7">
        <v>41000</v>
      </c>
      <c r="I109" s="62"/>
      <c r="J109" s="32"/>
      <c r="K109" s="23"/>
      <c r="L109" s="6"/>
      <c r="M109" s="59"/>
      <c r="N109" s="24"/>
      <c r="O109" s="23"/>
      <c r="P109" s="56"/>
      <c r="Q109" s="24"/>
      <c r="R109" s="23"/>
      <c r="S109" s="56"/>
      <c r="T109" s="56"/>
      <c r="U109" s="24"/>
    </row>
    <row r="110" spans="1:21" x14ac:dyDescent="0.2">
      <c r="A110" s="20" t="s">
        <v>20</v>
      </c>
      <c r="B110" s="23"/>
      <c r="C110" s="23"/>
      <c r="D110" s="23"/>
      <c r="E110" s="23"/>
      <c r="F110" s="23"/>
      <c r="G110" s="6"/>
      <c r="H110" s="6">
        <v>115000</v>
      </c>
      <c r="I110" s="59"/>
      <c r="J110" s="24"/>
      <c r="K110" s="47"/>
      <c r="L110" s="6">
        <v>69416</v>
      </c>
      <c r="M110" s="59"/>
      <c r="N110" s="24"/>
      <c r="O110" s="23"/>
      <c r="P110" s="56"/>
      <c r="Q110" s="24"/>
      <c r="R110" s="23"/>
      <c r="S110" s="56"/>
      <c r="T110" s="56"/>
      <c r="U110" s="24"/>
    </row>
    <row r="111" spans="1:21" x14ac:dyDescent="0.2">
      <c r="A111" s="20" t="s">
        <v>21</v>
      </c>
      <c r="B111" s="23"/>
      <c r="C111" s="23"/>
      <c r="D111" s="23"/>
      <c r="E111" s="23"/>
      <c r="F111" s="23"/>
      <c r="G111" s="6"/>
      <c r="H111" s="6">
        <v>3500</v>
      </c>
      <c r="I111" s="59"/>
      <c r="J111" s="24"/>
      <c r="K111" s="47"/>
      <c r="L111" s="6">
        <v>15500</v>
      </c>
      <c r="M111" s="59"/>
      <c r="N111" s="24"/>
      <c r="O111" s="23"/>
      <c r="P111" s="56"/>
      <c r="Q111" s="24"/>
      <c r="R111" s="23"/>
      <c r="S111" s="56"/>
      <c r="T111" s="56"/>
      <c r="U111" s="24"/>
    </row>
    <row r="112" spans="1:21" x14ac:dyDescent="0.2">
      <c r="A112" s="20" t="s">
        <v>22</v>
      </c>
      <c r="B112" s="23"/>
      <c r="C112" s="23"/>
      <c r="D112" s="23"/>
      <c r="E112" s="23"/>
      <c r="F112" s="23"/>
      <c r="G112" s="6"/>
      <c r="H112" s="6">
        <f>1000+2500</f>
        <v>3500</v>
      </c>
      <c r="I112" s="59"/>
      <c r="J112" s="24"/>
      <c r="K112" s="23"/>
      <c r="L112" s="6">
        <f>32500-2500</f>
        <v>30000</v>
      </c>
      <c r="M112" s="59"/>
      <c r="N112" s="24"/>
      <c r="O112" s="23"/>
      <c r="P112" s="56"/>
      <c r="Q112" s="24"/>
      <c r="R112" s="23"/>
      <c r="S112" s="56"/>
      <c r="T112" s="56"/>
      <c r="U112" s="24"/>
    </row>
    <row r="113" spans="1:21" s="8" customFormat="1" x14ac:dyDescent="0.2">
      <c r="A113" s="17" t="s">
        <v>29</v>
      </c>
      <c r="B113" s="25">
        <f t="shared" ref="B113:R113" si="5">SUM(B104:B112)</f>
        <v>0</v>
      </c>
      <c r="C113" s="25">
        <f>SUM(C104:C112)</f>
        <v>0</v>
      </c>
      <c r="D113" s="25">
        <f t="shared" si="5"/>
        <v>19688.03</v>
      </c>
      <c r="E113" s="25">
        <f t="shared" si="5"/>
        <v>0</v>
      </c>
      <c r="F113" s="25">
        <f t="shared" si="5"/>
        <v>0</v>
      </c>
      <c r="G113" s="1">
        <f t="shared" si="5"/>
        <v>0</v>
      </c>
      <c r="H113" s="1">
        <f t="shared" si="5"/>
        <v>163000</v>
      </c>
      <c r="I113" s="60">
        <f t="shared" si="5"/>
        <v>0</v>
      </c>
      <c r="J113" s="63">
        <f t="shared" si="5"/>
        <v>19738.099999999999</v>
      </c>
      <c r="K113" s="25">
        <f t="shared" si="5"/>
        <v>0</v>
      </c>
      <c r="L113" s="1">
        <f t="shared" si="5"/>
        <v>114916</v>
      </c>
      <c r="M113" s="1">
        <f t="shared" si="5"/>
        <v>63679</v>
      </c>
      <c r="N113" s="26">
        <f t="shared" si="5"/>
        <v>42989</v>
      </c>
      <c r="O113" s="25">
        <f t="shared" si="5"/>
        <v>0</v>
      </c>
      <c r="P113" s="15">
        <f t="shared" si="5"/>
        <v>23850</v>
      </c>
      <c r="Q113" s="26">
        <f t="shared" si="5"/>
        <v>44540</v>
      </c>
      <c r="R113" s="25">
        <f t="shared" si="5"/>
        <v>0</v>
      </c>
      <c r="S113" s="15"/>
      <c r="T113" s="15">
        <f>SUM(T104:T112)</f>
        <v>0</v>
      </c>
      <c r="U113" s="26">
        <f>SUM(U104:U112)</f>
        <v>0</v>
      </c>
    </row>
    <row r="114" spans="1:21" s="37" customFormat="1" x14ac:dyDescent="0.2">
      <c r="A114" s="41" t="s">
        <v>109</v>
      </c>
      <c r="B114" s="43"/>
      <c r="C114" s="43"/>
      <c r="D114" s="43"/>
      <c r="E114" s="43"/>
      <c r="F114" s="43"/>
      <c r="G114" s="44"/>
      <c r="H114" s="45"/>
      <c r="I114" s="58"/>
      <c r="J114" s="46"/>
      <c r="K114" s="43"/>
      <c r="L114" s="45"/>
      <c r="M114" s="58"/>
      <c r="N114" s="46"/>
      <c r="O114" s="43"/>
      <c r="P114" s="55"/>
      <c r="Q114" s="46"/>
      <c r="R114" s="43"/>
      <c r="S114" s="55"/>
      <c r="T114" s="55"/>
      <c r="U114" s="46"/>
    </row>
    <row r="115" spans="1:21" s="37" customFormat="1" x14ac:dyDescent="0.2">
      <c r="A115" s="41" t="s">
        <v>110</v>
      </c>
      <c r="B115" s="43"/>
      <c r="C115" s="43"/>
      <c r="D115" s="43">
        <v>205.7</v>
      </c>
      <c r="E115" s="43"/>
      <c r="F115" s="43"/>
      <c r="G115" s="44"/>
      <c r="H115" s="45"/>
      <c r="I115" s="58">
        <f>13000+106.48</f>
        <v>13106.48</v>
      </c>
      <c r="J115" s="46">
        <v>9000</v>
      </c>
      <c r="K115" s="43"/>
      <c r="L115" s="45"/>
      <c r="M115" s="58">
        <v>30000</v>
      </c>
      <c r="N115" s="46">
        <v>27200</v>
      </c>
      <c r="O115" s="43"/>
      <c r="P115" s="55">
        <v>2276</v>
      </c>
      <c r="Q115" s="46">
        <v>9076</v>
      </c>
      <c r="R115" s="43"/>
      <c r="S115" s="55"/>
      <c r="T115" s="55"/>
      <c r="U115" s="46"/>
    </row>
    <row r="116" spans="1:21" s="8" customFormat="1" x14ac:dyDescent="0.2">
      <c r="A116" s="17" t="s">
        <v>32</v>
      </c>
      <c r="B116" s="25">
        <f t="shared" ref="B116:R116" si="6">SUM(B114:B115)</f>
        <v>0</v>
      </c>
      <c r="C116" s="25">
        <f t="shared" si="6"/>
        <v>0</v>
      </c>
      <c r="D116" s="25">
        <f t="shared" si="6"/>
        <v>205.7</v>
      </c>
      <c r="E116" s="25">
        <f t="shared" si="6"/>
        <v>0</v>
      </c>
      <c r="F116" s="25">
        <f t="shared" si="6"/>
        <v>0</v>
      </c>
      <c r="G116" s="1">
        <f t="shared" si="6"/>
        <v>0</v>
      </c>
      <c r="H116" s="1">
        <f t="shared" si="6"/>
        <v>0</v>
      </c>
      <c r="I116" s="60">
        <f t="shared" si="6"/>
        <v>13106.48</v>
      </c>
      <c r="J116" s="63">
        <f t="shared" si="6"/>
        <v>9000</v>
      </c>
      <c r="K116" s="25">
        <f t="shared" si="6"/>
        <v>0</v>
      </c>
      <c r="L116" s="1">
        <f t="shared" si="6"/>
        <v>0</v>
      </c>
      <c r="M116" s="1">
        <f t="shared" si="6"/>
        <v>30000</v>
      </c>
      <c r="N116" s="26">
        <f t="shared" si="6"/>
        <v>27200</v>
      </c>
      <c r="O116" s="25">
        <f t="shared" si="6"/>
        <v>0</v>
      </c>
      <c r="P116" s="15">
        <f t="shared" si="6"/>
        <v>2276</v>
      </c>
      <c r="Q116" s="26">
        <f t="shared" si="6"/>
        <v>9076</v>
      </c>
      <c r="R116" s="25">
        <f t="shared" si="6"/>
        <v>0</v>
      </c>
      <c r="S116" s="15"/>
      <c r="T116" s="15">
        <f>SUM(T114:T115)</f>
        <v>0</v>
      </c>
      <c r="U116" s="26">
        <f>SUM(U114:U115)</f>
        <v>0</v>
      </c>
    </row>
    <row r="117" spans="1:21" s="37" customFormat="1" x14ac:dyDescent="0.2">
      <c r="A117" s="42" t="s">
        <v>98</v>
      </c>
      <c r="B117" s="43"/>
      <c r="C117" s="43"/>
      <c r="D117" s="43"/>
      <c r="E117" s="43"/>
      <c r="F117" s="43"/>
      <c r="G117" s="44"/>
      <c r="H117" s="45"/>
      <c r="I117" s="58"/>
      <c r="J117" s="46"/>
      <c r="K117" s="43"/>
      <c r="L117" s="45"/>
      <c r="M117" s="58">
        <v>69500</v>
      </c>
      <c r="N117" s="46">
        <v>69500</v>
      </c>
      <c r="O117" s="43"/>
      <c r="P117" s="55"/>
      <c r="Q117" s="46"/>
      <c r="R117" s="43"/>
      <c r="S117" s="55"/>
      <c r="T117" s="55"/>
      <c r="U117" s="46"/>
    </row>
    <row r="118" spans="1:21" s="37" customFormat="1" ht="25.5" x14ac:dyDescent="0.2">
      <c r="A118" s="42" t="s">
        <v>99</v>
      </c>
      <c r="B118" s="43"/>
      <c r="C118" s="43"/>
      <c r="D118" s="43"/>
      <c r="E118" s="43"/>
      <c r="F118" s="43"/>
      <c r="G118" s="44"/>
      <c r="H118" s="45"/>
      <c r="I118" s="58"/>
      <c r="J118" s="46"/>
      <c r="K118" s="43"/>
      <c r="L118" s="45"/>
      <c r="M118" s="58">
        <v>14784</v>
      </c>
      <c r="N118" s="46"/>
      <c r="O118" s="43"/>
      <c r="P118" s="55"/>
      <c r="Q118" s="46">
        <v>14784</v>
      </c>
      <c r="R118" s="43"/>
      <c r="S118" s="55"/>
      <c r="T118" s="55"/>
      <c r="U118" s="46"/>
    </row>
    <row r="119" spans="1:21" s="37" customFormat="1" x14ac:dyDescent="0.2">
      <c r="A119" s="42" t="s">
        <v>100</v>
      </c>
      <c r="B119" s="43"/>
      <c r="C119" s="43"/>
      <c r="D119" s="43"/>
      <c r="E119" s="43"/>
      <c r="F119" s="43"/>
      <c r="G119" s="44"/>
      <c r="H119" s="45"/>
      <c r="I119" s="58"/>
      <c r="J119" s="46"/>
      <c r="K119" s="43"/>
      <c r="L119" s="45"/>
      <c r="M119" s="58">
        <v>88500</v>
      </c>
      <c r="N119" s="46">
        <v>88500</v>
      </c>
      <c r="O119" s="43"/>
      <c r="P119" s="55"/>
      <c r="Q119" s="46"/>
      <c r="R119" s="43"/>
      <c r="S119" s="55"/>
      <c r="T119" s="55"/>
      <c r="U119" s="46"/>
    </row>
    <row r="120" spans="1:21" x14ac:dyDescent="0.2">
      <c r="A120" s="40" t="s">
        <v>92</v>
      </c>
      <c r="B120" s="23"/>
      <c r="C120" s="23"/>
      <c r="D120" s="23"/>
      <c r="E120" s="23"/>
      <c r="F120" s="23"/>
      <c r="G120" s="6"/>
      <c r="H120" s="6"/>
      <c r="I120" s="59"/>
      <c r="J120" s="24"/>
      <c r="K120" s="23"/>
      <c r="L120" s="6"/>
      <c r="M120" s="59"/>
      <c r="N120" s="24"/>
      <c r="O120" s="23"/>
      <c r="P120" s="56">
        <v>141437</v>
      </c>
      <c r="Q120" s="24">
        <v>141437</v>
      </c>
      <c r="R120" s="23"/>
      <c r="S120" s="56"/>
      <c r="T120" s="56"/>
      <c r="U120" s="24"/>
    </row>
    <row r="121" spans="1:21" s="8" customFormat="1" x14ac:dyDescent="0.2">
      <c r="A121" s="17" t="s">
        <v>93</v>
      </c>
      <c r="B121" s="25">
        <f t="shared" ref="B121:R121" si="7">SUM(B117:B120)</f>
        <v>0</v>
      </c>
      <c r="C121" s="25">
        <f t="shared" si="7"/>
        <v>0</v>
      </c>
      <c r="D121" s="25">
        <f t="shared" si="7"/>
        <v>0</v>
      </c>
      <c r="E121" s="25">
        <f t="shared" si="7"/>
        <v>0</v>
      </c>
      <c r="F121" s="25">
        <f t="shared" si="7"/>
        <v>0</v>
      </c>
      <c r="G121" s="1">
        <f t="shared" si="7"/>
        <v>0</v>
      </c>
      <c r="H121" s="1">
        <f t="shared" si="7"/>
        <v>0</v>
      </c>
      <c r="I121" s="60">
        <f t="shared" si="7"/>
        <v>0</v>
      </c>
      <c r="J121" s="63">
        <f t="shared" si="7"/>
        <v>0</v>
      </c>
      <c r="K121" s="25">
        <f t="shared" si="7"/>
        <v>0</v>
      </c>
      <c r="L121" s="1">
        <f t="shared" si="7"/>
        <v>0</v>
      </c>
      <c r="M121" s="1">
        <f t="shared" si="7"/>
        <v>172784</v>
      </c>
      <c r="N121" s="26">
        <f t="shared" si="7"/>
        <v>158000</v>
      </c>
      <c r="O121" s="25">
        <f t="shared" si="7"/>
        <v>0</v>
      </c>
      <c r="P121" s="15">
        <f t="shared" si="7"/>
        <v>141437</v>
      </c>
      <c r="Q121" s="26">
        <f t="shared" si="7"/>
        <v>156221</v>
      </c>
      <c r="R121" s="25">
        <f t="shared" si="7"/>
        <v>0</v>
      </c>
      <c r="S121" s="15"/>
      <c r="T121" s="15">
        <f>SUM(T117:T120)</f>
        <v>0</v>
      </c>
      <c r="U121" s="26">
        <f>SUM(U117:U120)</f>
        <v>0</v>
      </c>
    </row>
    <row r="122" spans="1:21" s="37" customFormat="1" x14ac:dyDescent="0.2">
      <c r="A122" s="41" t="s">
        <v>111</v>
      </c>
      <c r="B122" s="43"/>
      <c r="C122" s="43"/>
      <c r="D122" s="43"/>
      <c r="E122" s="43"/>
      <c r="F122" s="43"/>
      <c r="G122" s="44"/>
      <c r="H122" s="45"/>
      <c r="I122" s="58"/>
      <c r="J122" s="46"/>
      <c r="K122" s="43"/>
      <c r="L122" s="89">
        <v>15000</v>
      </c>
      <c r="M122" s="58">
        <v>84500</v>
      </c>
      <c r="N122" s="46"/>
      <c r="O122" s="90">
        <v>20915</v>
      </c>
      <c r="P122" s="55">
        <v>113500</v>
      </c>
      <c r="Q122" s="46">
        <v>198000</v>
      </c>
      <c r="R122" s="43"/>
      <c r="S122" s="55"/>
      <c r="T122" s="55"/>
      <c r="U122" s="46"/>
    </row>
    <row r="123" spans="1:21" s="8" customFormat="1" x14ac:dyDescent="0.2">
      <c r="A123" s="17" t="s">
        <v>112</v>
      </c>
      <c r="B123" s="1">
        <f t="shared" ref="B123:U123" si="8">SUBTOTAL(9,B122)</f>
        <v>0</v>
      </c>
      <c r="C123" s="1">
        <f t="shared" si="8"/>
        <v>0</v>
      </c>
      <c r="D123" s="1">
        <f t="shared" si="8"/>
        <v>0</v>
      </c>
      <c r="E123" s="1">
        <f t="shared" si="8"/>
        <v>0</v>
      </c>
      <c r="F123" s="1">
        <f t="shared" si="8"/>
        <v>0</v>
      </c>
      <c r="G123" s="1">
        <f t="shared" si="8"/>
        <v>0</v>
      </c>
      <c r="H123" s="1">
        <f t="shared" si="8"/>
        <v>0</v>
      </c>
      <c r="I123" s="60">
        <f t="shared" si="8"/>
        <v>0</v>
      </c>
      <c r="J123" s="63">
        <f t="shared" si="8"/>
        <v>0</v>
      </c>
      <c r="K123" s="25">
        <f t="shared" si="8"/>
        <v>0</v>
      </c>
      <c r="L123" s="1">
        <f t="shared" si="8"/>
        <v>15000</v>
      </c>
      <c r="M123" s="1">
        <f t="shared" si="8"/>
        <v>84500</v>
      </c>
      <c r="N123" s="26">
        <f t="shared" si="8"/>
        <v>0</v>
      </c>
      <c r="O123" s="25">
        <f t="shared" si="8"/>
        <v>20915</v>
      </c>
      <c r="P123" s="15">
        <f>SUM(P122)</f>
        <v>113500</v>
      </c>
      <c r="Q123" s="26">
        <f t="shared" si="8"/>
        <v>198000</v>
      </c>
      <c r="R123" s="25">
        <f t="shared" si="8"/>
        <v>0</v>
      </c>
      <c r="S123" s="15"/>
      <c r="T123" s="15">
        <f>SUM(T122)</f>
        <v>0</v>
      </c>
      <c r="U123" s="26">
        <f t="shared" si="8"/>
        <v>0</v>
      </c>
    </row>
    <row r="124" spans="1:21" s="8" customFormat="1" ht="18.75" customHeight="1" x14ac:dyDescent="0.2">
      <c r="A124" s="73"/>
      <c r="B124" s="74">
        <f t="shared" ref="B124:R124" si="9">B123+B121+B116+B113+B103+B62+B49+B34</f>
        <v>0</v>
      </c>
      <c r="C124" s="74">
        <f t="shared" si="9"/>
        <v>0</v>
      </c>
      <c r="D124" s="74">
        <f t="shared" si="9"/>
        <v>312288.5</v>
      </c>
      <c r="E124" s="74">
        <f t="shared" si="9"/>
        <v>331976.3</v>
      </c>
      <c r="F124" s="74">
        <f t="shared" si="9"/>
        <v>199479.2</v>
      </c>
      <c r="G124" s="74">
        <f t="shared" si="9"/>
        <v>0</v>
      </c>
      <c r="H124" s="74">
        <f t="shared" si="9"/>
        <v>730240</v>
      </c>
      <c r="I124" s="74">
        <f t="shared" si="9"/>
        <v>688354.27</v>
      </c>
      <c r="J124" s="74">
        <f t="shared" si="9"/>
        <v>584267.05000000005</v>
      </c>
      <c r="K124" s="74">
        <f t="shared" si="9"/>
        <v>0</v>
      </c>
      <c r="L124" s="74">
        <f t="shared" si="9"/>
        <v>1018249</v>
      </c>
      <c r="M124" s="74">
        <f t="shared" si="9"/>
        <v>919327.58</v>
      </c>
      <c r="N124" s="74">
        <f t="shared" si="9"/>
        <v>728237.99</v>
      </c>
      <c r="O124" s="74">
        <f t="shared" si="9"/>
        <v>471228</v>
      </c>
      <c r="P124" s="74">
        <f t="shared" si="9"/>
        <v>806154</v>
      </c>
      <c r="Q124" s="74">
        <f t="shared" si="9"/>
        <v>1413515</v>
      </c>
      <c r="R124" s="74">
        <f t="shared" si="9"/>
        <v>671044</v>
      </c>
      <c r="S124" s="75"/>
      <c r="T124" s="74">
        <f>T123+T121+T116+T113+T103+T62+T49+T34</f>
        <v>0</v>
      </c>
      <c r="U124" s="74">
        <f>U123+U121+U116+U113+U103+U62+U49+U34</f>
        <v>125615</v>
      </c>
    </row>
    <row r="125" spans="1:21" s="8" customFormat="1" x14ac:dyDescent="0.2">
      <c r="A125" s="2"/>
      <c r="B125" s="29"/>
      <c r="C125" s="29"/>
      <c r="D125" s="29"/>
      <c r="E125" s="29"/>
      <c r="F125" s="29"/>
      <c r="G125" s="3"/>
      <c r="H125" s="3"/>
      <c r="I125" s="3"/>
      <c r="J125" s="64"/>
      <c r="K125" s="29"/>
      <c r="L125" s="3"/>
      <c r="M125" s="3"/>
      <c r="N125" s="30"/>
      <c r="O125" s="29"/>
      <c r="P125" s="3"/>
      <c r="Q125" s="30"/>
      <c r="R125" s="29"/>
      <c r="S125" s="3"/>
      <c r="T125" s="3"/>
      <c r="U125" s="30"/>
    </row>
    <row r="126" spans="1:21" s="8" customFormat="1" ht="38.25" x14ac:dyDescent="0.2">
      <c r="A126" s="51" t="s">
        <v>137</v>
      </c>
      <c r="B126" s="66"/>
      <c r="C126" s="66"/>
      <c r="D126" s="66"/>
      <c r="E126" s="66"/>
      <c r="F126" s="66"/>
      <c r="G126" s="67"/>
      <c r="H126" s="67"/>
      <c r="I126" s="68"/>
      <c r="J126" s="69"/>
      <c r="K126" s="66"/>
      <c r="L126" s="67"/>
      <c r="M126" s="68"/>
      <c r="N126" s="69"/>
      <c r="O126" s="66"/>
      <c r="P126" s="70"/>
      <c r="Q126" s="69"/>
      <c r="R126" s="66"/>
      <c r="S126" s="70"/>
      <c r="T126" s="70"/>
      <c r="U126" s="69"/>
    </row>
    <row r="127" spans="1:21" s="8" customFormat="1" ht="38.25" x14ac:dyDescent="0.2">
      <c r="A127" s="52" t="s">
        <v>117</v>
      </c>
      <c r="B127" s="43"/>
      <c r="C127" s="43"/>
      <c r="D127" s="43">
        <v>4200.32</v>
      </c>
      <c r="E127" s="43">
        <v>0</v>
      </c>
      <c r="F127" s="43"/>
      <c r="G127" s="44"/>
      <c r="H127" s="45"/>
      <c r="I127" s="58"/>
      <c r="J127" s="46">
        <v>5354.55</v>
      </c>
      <c r="K127" s="43"/>
      <c r="L127" s="45"/>
      <c r="M127" s="58"/>
      <c r="N127" s="46"/>
      <c r="O127" s="43"/>
      <c r="P127" s="55"/>
      <c r="Q127" s="46"/>
      <c r="R127" s="43"/>
      <c r="S127" s="55"/>
      <c r="T127" s="55"/>
      <c r="U127" s="46"/>
    </row>
    <row r="128" spans="1:21" s="8" customFormat="1" ht="25.5" x14ac:dyDescent="0.2">
      <c r="A128" s="52" t="s">
        <v>118</v>
      </c>
      <c r="B128" s="43"/>
      <c r="C128" s="43"/>
      <c r="D128" s="43">
        <v>12485.01</v>
      </c>
      <c r="E128" s="43"/>
      <c r="F128" s="43"/>
      <c r="G128" s="44"/>
      <c r="H128" s="45"/>
      <c r="I128" s="58">
        <v>1198.5</v>
      </c>
      <c r="J128" s="46">
        <v>13683.76</v>
      </c>
      <c r="K128" s="43"/>
      <c r="L128" s="45"/>
      <c r="M128" s="58"/>
      <c r="N128" s="46"/>
      <c r="O128" s="43"/>
      <c r="P128" s="55"/>
      <c r="Q128" s="46"/>
      <c r="R128" s="43"/>
      <c r="S128" s="55"/>
      <c r="T128" s="55"/>
      <c r="U128" s="46"/>
    </row>
    <row r="129" spans="1:21" s="8" customFormat="1" ht="25.5" x14ac:dyDescent="0.2">
      <c r="A129" s="52" t="s">
        <v>119</v>
      </c>
      <c r="B129" s="43"/>
      <c r="C129" s="43"/>
      <c r="D129" s="43">
        <v>731.76</v>
      </c>
      <c r="E129" s="43"/>
      <c r="F129" s="43"/>
      <c r="G129" s="44"/>
      <c r="H129" s="45"/>
      <c r="I129" s="58">
        <v>11.66</v>
      </c>
      <c r="J129" s="46"/>
      <c r="K129" s="43"/>
      <c r="L129" s="45"/>
      <c r="M129" s="58"/>
      <c r="N129" s="46">
        <v>743.42</v>
      </c>
      <c r="O129" s="43"/>
      <c r="P129" s="55"/>
      <c r="Q129" s="46"/>
      <c r="R129" s="43"/>
      <c r="S129" s="55"/>
      <c r="T129" s="55"/>
      <c r="U129" s="46"/>
    </row>
    <row r="130" spans="1:21" s="8" customFormat="1" ht="25.5" x14ac:dyDescent="0.2">
      <c r="A130" s="53" t="s">
        <v>120</v>
      </c>
      <c r="B130" s="43"/>
      <c r="C130" s="43"/>
      <c r="D130" s="43">
        <v>40663.625010000003</v>
      </c>
      <c r="E130" s="43"/>
      <c r="F130" s="43"/>
      <c r="G130" s="44"/>
      <c r="H130" s="45"/>
      <c r="I130" s="58">
        <v>5605.38</v>
      </c>
      <c r="J130" s="46">
        <v>46269</v>
      </c>
      <c r="K130" s="43"/>
      <c r="L130" s="45"/>
      <c r="M130" s="58"/>
      <c r="N130" s="46"/>
      <c r="O130" s="43"/>
      <c r="P130" s="55"/>
      <c r="Q130" s="46"/>
      <c r="R130" s="43"/>
      <c r="S130" s="55"/>
      <c r="T130" s="55"/>
      <c r="U130" s="46"/>
    </row>
    <row r="131" spans="1:21" s="8" customFormat="1" ht="25.5" x14ac:dyDescent="0.2">
      <c r="A131" s="53" t="s">
        <v>121</v>
      </c>
      <c r="B131" s="43"/>
      <c r="C131" s="43"/>
      <c r="D131" s="43">
        <v>0</v>
      </c>
      <c r="E131" s="43"/>
      <c r="F131" s="43"/>
      <c r="G131" s="44"/>
      <c r="H131" s="45"/>
      <c r="I131" s="58">
        <f>29294+22500</f>
        <v>51794</v>
      </c>
      <c r="J131" s="46"/>
      <c r="K131" s="43"/>
      <c r="L131" s="45"/>
      <c r="M131" s="58"/>
      <c r="N131" s="46">
        <v>51794</v>
      </c>
      <c r="O131" s="43"/>
      <c r="P131" s="55"/>
      <c r="Q131" s="46"/>
      <c r="R131" s="43"/>
      <c r="S131" s="55"/>
      <c r="T131" s="55"/>
      <c r="U131" s="46"/>
    </row>
    <row r="132" spans="1:21" s="8" customFormat="1" ht="25.5" x14ac:dyDescent="0.2">
      <c r="A132" s="53" t="s">
        <v>122</v>
      </c>
      <c r="B132" s="43"/>
      <c r="C132" s="43"/>
      <c r="D132" s="43"/>
      <c r="E132" s="43"/>
      <c r="F132" s="43"/>
      <c r="G132" s="44"/>
      <c r="H132" s="45"/>
      <c r="I132" s="58"/>
      <c r="J132" s="46"/>
      <c r="K132" s="43"/>
      <c r="L132" s="45"/>
      <c r="M132" s="58"/>
      <c r="N132" s="46"/>
      <c r="O132" s="43"/>
      <c r="P132" s="55"/>
      <c r="Q132" s="46"/>
      <c r="R132" s="43"/>
      <c r="S132" s="55"/>
      <c r="T132" s="55"/>
      <c r="U132" s="46"/>
    </row>
    <row r="133" spans="1:21" s="8" customFormat="1" ht="25.5" x14ac:dyDescent="0.2">
      <c r="A133" s="53" t="s">
        <v>123</v>
      </c>
      <c r="B133" s="43"/>
      <c r="C133" s="43"/>
      <c r="D133" s="43"/>
      <c r="E133" s="43"/>
      <c r="F133" s="43"/>
      <c r="G133" s="44"/>
      <c r="H133" s="45"/>
      <c r="I133" s="58"/>
      <c r="J133" s="46"/>
      <c r="K133" s="43"/>
      <c r="L133" s="45"/>
      <c r="M133" s="58"/>
      <c r="N133" s="46"/>
      <c r="O133" s="43"/>
      <c r="P133" s="55"/>
      <c r="Q133" s="46"/>
      <c r="R133" s="43"/>
      <c r="S133" s="55"/>
      <c r="T133" s="55"/>
      <c r="U133" s="46"/>
    </row>
    <row r="134" spans="1:21" s="8" customFormat="1" ht="25.5" x14ac:dyDescent="0.2">
      <c r="A134" s="53" t="s">
        <v>124</v>
      </c>
      <c r="B134" s="43"/>
      <c r="C134" s="43"/>
      <c r="D134" s="43"/>
      <c r="E134" s="43"/>
      <c r="F134" s="43"/>
      <c r="G134" s="44"/>
      <c r="H134" s="45"/>
      <c r="I134" s="58"/>
      <c r="J134" s="46"/>
      <c r="K134" s="43"/>
      <c r="L134" s="45"/>
      <c r="M134" s="58"/>
      <c r="N134" s="46"/>
      <c r="O134" s="43"/>
      <c r="P134" s="55"/>
      <c r="Q134" s="46"/>
      <c r="R134" s="43"/>
      <c r="S134" s="55"/>
      <c r="T134" s="55"/>
      <c r="U134" s="46"/>
    </row>
    <row r="135" spans="1:21" s="8" customFormat="1" ht="25.5" x14ac:dyDescent="0.2">
      <c r="A135" s="53" t="s">
        <v>125</v>
      </c>
      <c r="B135" s="43"/>
      <c r="C135" s="43"/>
      <c r="D135" s="43"/>
      <c r="E135" s="43"/>
      <c r="F135" s="43"/>
      <c r="G135" s="44"/>
      <c r="H135" s="45"/>
      <c r="I135" s="58"/>
      <c r="J135" s="46"/>
      <c r="K135" s="43"/>
      <c r="L135" s="45"/>
      <c r="M135" s="58"/>
      <c r="N135" s="46"/>
      <c r="O135" s="43"/>
      <c r="P135" s="55"/>
      <c r="Q135" s="46"/>
      <c r="R135" s="43"/>
      <c r="S135" s="55"/>
      <c r="T135" s="55"/>
      <c r="U135" s="46"/>
    </row>
    <row r="136" spans="1:21" s="8" customFormat="1" ht="25.5" x14ac:dyDescent="0.2">
      <c r="A136" s="53" t="s">
        <v>126</v>
      </c>
      <c r="B136" s="43"/>
      <c r="C136" s="43"/>
      <c r="D136" s="43"/>
      <c r="E136" s="43"/>
      <c r="F136" s="43"/>
      <c r="G136" s="44"/>
      <c r="H136" s="45"/>
      <c r="I136" s="58"/>
      <c r="J136" s="46"/>
      <c r="K136" s="43"/>
      <c r="L136" s="45"/>
      <c r="M136" s="58"/>
      <c r="N136" s="46"/>
      <c r="O136" s="43"/>
      <c r="P136" s="55"/>
      <c r="Q136" s="46"/>
      <c r="R136" s="43"/>
      <c r="S136" s="55"/>
      <c r="T136" s="55"/>
      <c r="U136" s="46"/>
    </row>
    <row r="137" spans="1:21" s="8" customFormat="1" ht="38.25" x14ac:dyDescent="0.2">
      <c r="A137" s="53" t="s">
        <v>127</v>
      </c>
      <c r="B137" s="43"/>
      <c r="C137" s="43"/>
      <c r="D137" s="43"/>
      <c r="E137" s="43"/>
      <c r="F137" s="43"/>
      <c r="G137" s="44"/>
      <c r="H137" s="45"/>
      <c r="I137" s="58"/>
      <c r="J137" s="46"/>
      <c r="K137" s="43"/>
      <c r="L137" s="45"/>
      <c r="M137" s="58"/>
      <c r="N137" s="46"/>
      <c r="O137" s="43"/>
      <c r="P137" s="55"/>
      <c r="Q137" s="46"/>
      <c r="R137" s="43"/>
      <c r="S137" s="55"/>
      <c r="T137" s="55"/>
      <c r="U137" s="46"/>
    </row>
    <row r="138" spans="1:21" s="8" customFormat="1" ht="25.5" x14ac:dyDescent="0.2">
      <c r="A138" s="54" t="s">
        <v>128</v>
      </c>
      <c r="B138" s="43"/>
      <c r="C138" s="43"/>
      <c r="D138" s="43"/>
      <c r="E138" s="43"/>
      <c r="F138" s="43"/>
      <c r="G138" s="44"/>
      <c r="H138" s="45"/>
      <c r="I138" s="58"/>
      <c r="J138" s="46"/>
      <c r="K138" s="43"/>
      <c r="L138" s="45"/>
      <c r="M138" s="58"/>
      <c r="N138" s="46"/>
      <c r="O138" s="43"/>
      <c r="P138" s="55"/>
      <c r="Q138" s="46"/>
      <c r="R138" s="43"/>
      <c r="S138" s="55"/>
      <c r="T138" s="55"/>
      <c r="U138" s="46"/>
    </row>
    <row r="139" spans="1:21" s="8" customFormat="1" x14ac:dyDescent="0.2">
      <c r="A139" s="50" t="s">
        <v>129</v>
      </c>
      <c r="B139" s="43"/>
      <c r="C139" s="43"/>
      <c r="D139" s="43">
        <v>0</v>
      </c>
      <c r="E139" s="43"/>
      <c r="F139" s="43"/>
      <c r="G139" s="44"/>
      <c r="H139" s="45"/>
      <c r="I139" s="58"/>
      <c r="J139" s="46"/>
      <c r="K139" s="43"/>
      <c r="L139" s="45"/>
      <c r="M139" s="58"/>
      <c r="N139" s="46"/>
      <c r="O139" s="43"/>
      <c r="P139" s="55"/>
      <c r="Q139" s="46"/>
      <c r="R139" s="43"/>
      <c r="S139" s="55"/>
      <c r="T139" s="55"/>
      <c r="U139" s="46"/>
    </row>
    <row r="140" spans="1:21" s="8" customFormat="1" x14ac:dyDescent="0.2">
      <c r="A140" s="50" t="s">
        <v>130</v>
      </c>
      <c r="B140" s="43"/>
      <c r="C140" s="43"/>
      <c r="D140" s="43">
        <v>24827.701499999999</v>
      </c>
      <c r="E140" s="43">
        <v>24827.701499999999</v>
      </c>
      <c r="F140" s="43"/>
      <c r="G140" s="44"/>
      <c r="H140" s="45"/>
      <c r="I140" s="58"/>
      <c r="J140" s="46"/>
      <c r="K140" s="43"/>
      <c r="L140" s="45"/>
      <c r="M140" s="58"/>
      <c r="N140" s="46"/>
      <c r="O140" s="43"/>
      <c r="P140" s="55"/>
      <c r="Q140" s="46"/>
      <c r="R140" s="43"/>
      <c r="S140" s="55"/>
      <c r="T140" s="55"/>
      <c r="U140" s="46"/>
    </row>
    <row r="141" spans="1:21" s="8" customFormat="1" x14ac:dyDescent="0.2">
      <c r="A141" s="50" t="s">
        <v>131</v>
      </c>
      <c r="B141" s="43"/>
      <c r="C141" s="43"/>
      <c r="D141" s="43">
        <v>27000</v>
      </c>
      <c r="E141" s="43"/>
      <c r="F141" s="43"/>
      <c r="G141" s="44"/>
      <c r="H141" s="45"/>
      <c r="I141" s="58"/>
      <c r="J141" s="46">
        <v>27000</v>
      </c>
      <c r="K141" s="43"/>
      <c r="L141" s="45"/>
      <c r="M141" s="58"/>
      <c r="N141" s="46"/>
      <c r="O141" s="43"/>
      <c r="P141" s="55"/>
      <c r="Q141" s="46"/>
      <c r="R141" s="43"/>
      <c r="S141" s="55"/>
      <c r="T141" s="55"/>
      <c r="U141" s="46"/>
    </row>
    <row r="142" spans="1:21" s="8" customFormat="1" x14ac:dyDescent="0.2">
      <c r="A142" s="50" t="s">
        <v>132</v>
      </c>
      <c r="B142" s="43"/>
      <c r="C142" s="43"/>
      <c r="D142" s="43">
        <v>0</v>
      </c>
      <c r="E142" s="43">
        <v>24350.584500000001</v>
      </c>
      <c r="F142" s="43"/>
      <c r="G142" s="44"/>
      <c r="H142" s="45"/>
      <c r="I142" s="58"/>
      <c r="J142" s="46"/>
      <c r="K142" s="43"/>
      <c r="L142" s="45"/>
      <c r="M142" s="58"/>
      <c r="N142" s="46"/>
      <c r="O142" s="43"/>
      <c r="P142" s="55"/>
      <c r="Q142" s="46"/>
      <c r="R142" s="43"/>
      <c r="S142" s="55"/>
      <c r="T142" s="55"/>
      <c r="U142" s="46"/>
    </row>
    <row r="143" spans="1:21" s="8" customFormat="1" x14ac:dyDescent="0.2">
      <c r="A143" s="50" t="s">
        <v>133</v>
      </c>
      <c r="B143" s="43"/>
      <c r="C143" s="43"/>
      <c r="D143" s="43">
        <v>10219.720499999999</v>
      </c>
      <c r="E143" s="43"/>
      <c r="F143" s="43"/>
      <c r="G143" s="44"/>
      <c r="H143" s="45"/>
      <c r="I143" s="58"/>
      <c r="J143" s="46">
        <v>10351</v>
      </c>
      <c r="K143" s="43"/>
      <c r="L143" s="45"/>
      <c r="M143" s="58"/>
      <c r="N143" s="46"/>
      <c r="O143" s="43"/>
      <c r="P143" s="55"/>
      <c r="Q143" s="46"/>
      <c r="R143" s="43"/>
      <c r="S143" s="55"/>
      <c r="T143" s="55"/>
      <c r="U143" s="46"/>
    </row>
    <row r="144" spans="1:21" s="8" customFormat="1" x14ac:dyDescent="0.2">
      <c r="A144" s="50" t="s">
        <v>134</v>
      </c>
      <c r="B144" s="43"/>
      <c r="C144" s="43"/>
      <c r="D144" s="43">
        <v>0</v>
      </c>
      <c r="E144" s="43"/>
      <c r="F144" s="43"/>
      <c r="G144" s="44"/>
      <c r="H144" s="45"/>
      <c r="I144" s="58">
        <v>20169</v>
      </c>
      <c r="J144" s="46">
        <v>20169</v>
      </c>
      <c r="K144" s="43"/>
      <c r="L144" s="45"/>
      <c r="M144" s="58"/>
      <c r="N144" s="46"/>
      <c r="O144" s="43"/>
      <c r="P144" s="55"/>
      <c r="Q144" s="46"/>
      <c r="R144" s="43"/>
      <c r="S144" s="55"/>
      <c r="T144" s="55"/>
      <c r="U144" s="46"/>
    </row>
    <row r="145" spans="1:21" s="8" customFormat="1" ht="38.25" x14ac:dyDescent="0.2">
      <c r="A145" s="54" t="s">
        <v>135</v>
      </c>
      <c r="B145" s="43"/>
      <c r="C145" s="43"/>
      <c r="D145" s="43"/>
      <c r="E145" s="43"/>
      <c r="F145" s="43"/>
      <c r="G145" s="44"/>
      <c r="H145" s="45"/>
      <c r="I145" s="58"/>
      <c r="J145" s="46"/>
      <c r="K145" s="43"/>
      <c r="L145" s="45"/>
      <c r="M145" s="58"/>
      <c r="N145" s="46"/>
      <c r="O145" s="43"/>
      <c r="P145" s="55"/>
      <c r="Q145" s="46"/>
      <c r="R145" s="43"/>
      <c r="S145" s="55"/>
      <c r="T145" s="55"/>
      <c r="U145" s="46"/>
    </row>
    <row r="146" spans="1:21" s="8" customFormat="1" x14ac:dyDescent="0.2">
      <c r="A146" s="50" t="s">
        <v>130</v>
      </c>
      <c r="B146" s="43"/>
      <c r="C146" s="43"/>
      <c r="D146" s="43">
        <v>2471.8014000000003</v>
      </c>
      <c r="E146" s="43"/>
      <c r="F146" s="43"/>
      <c r="G146" s="44"/>
      <c r="H146" s="45"/>
      <c r="I146" s="58">
        <v>5194.21</v>
      </c>
      <c r="J146" s="46">
        <v>7666</v>
      </c>
      <c r="K146" s="43"/>
      <c r="L146" s="45"/>
      <c r="M146" s="58"/>
      <c r="N146" s="46"/>
      <c r="O146" s="43"/>
      <c r="P146" s="55"/>
      <c r="Q146" s="46"/>
      <c r="R146" s="43"/>
      <c r="S146" s="55"/>
      <c r="T146" s="55"/>
      <c r="U146" s="46"/>
    </row>
    <row r="147" spans="1:21" s="8" customFormat="1" x14ac:dyDescent="0.2">
      <c r="A147" s="50" t="s">
        <v>131</v>
      </c>
      <c r="B147" s="43"/>
      <c r="C147" s="43"/>
      <c r="D147" s="43">
        <v>5671.7503100000004</v>
      </c>
      <c r="E147" s="43"/>
      <c r="F147" s="43"/>
      <c r="G147" s="44"/>
      <c r="H147" s="45"/>
      <c r="I147" s="58">
        <v>5562.25</v>
      </c>
      <c r="J147" s="46">
        <v>11234</v>
      </c>
      <c r="K147" s="43"/>
      <c r="L147" s="45"/>
      <c r="M147" s="58"/>
      <c r="N147" s="46"/>
      <c r="O147" s="43"/>
      <c r="P147" s="55"/>
      <c r="Q147" s="46"/>
      <c r="R147" s="43"/>
      <c r="S147" s="55"/>
      <c r="T147" s="55"/>
      <c r="U147" s="46"/>
    </row>
    <row r="148" spans="1:21" s="8" customFormat="1" x14ac:dyDescent="0.2">
      <c r="A148" s="50" t="s">
        <v>132</v>
      </c>
      <c r="B148" s="43"/>
      <c r="C148" s="43"/>
      <c r="D148" s="43">
        <v>6694.4742200000001</v>
      </c>
      <c r="E148" s="43">
        <v>1111.8689999999999</v>
      </c>
      <c r="F148" s="43"/>
      <c r="G148" s="44"/>
      <c r="H148" s="45"/>
      <c r="I148" s="58">
        <v>3739.5</v>
      </c>
      <c r="J148" s="46">
        <v>9432</v>
      </c>
      <c r="K148" s="43"/>
      <c r="L148" s="45"/>
      <c r="M148" s="58"/>
      <c r="N148" s="46"/>
      <c r="O148" s="43"/>
      <c r="P148" s="55"/>
      <c r="Q148" s="46"/>
      <c r="R148" s="43"/>
      <c r="S148" s="55"/>
      <c r="T148" s="55"/>
      <c r="U148" s="46"/>
    </row>
    <row r="149" spans="1:21" s="8" customFormat="1" x14ac:dyDescent="0.2">
      <c r="A149" s="50" t="s">
        <v>133</v>
      </c>
      <c r="B149" s="43"/>
      <c r="C149" s="43"/>
      <c r="D149" s="43">
        <v>59.442999999999998</v>
      </c>
      <c r="E149" s="43"/>
      <c r="F149" s="43"/>
      <c r="G149" s="44"/>
      <c r="H149" s="45"/>
      <c r="I149" s="58">
        <v>8361.56</v>
      </c>
      <c r="J149" s="46">
        <v>8421</v>
      </c>
      <c r="K149" s="43"/>
      <c r="L149" s="45"/>
      <c r="M149" s="58"/>
      <c r="N149" s="46"/>
      <c r="O149" s="43"/>
      <c r="P149" s="55"/>
      <c r="Q149" s="46"/>
      <c r="R149" s="43"/>
      <c r="S149" s="55"/>
      <c r="T149" s="55"/>
      <c r="U149" s="46"/>
    </row>
    <row r="150" spans="1:21" s="8" customFormat="1" x14ac:dyDescent="0.2">
      <c r="A150" s="50" t="s">
        <v>134</v>
      </c>
      <c r="B150" s="43"/>
      <c r="C150" s="43"/>
      <c r="D150" s="43">
        <v>0</v>
      </c>
      <c r="E150" s="43"/>
      <c r="F150" s="43"/>
      <c r="G150" s="44"/>
      <c r="H150" s="45"/>
      <c r="I150" s="58">
        <v>9873</v>
      </c>
      <c r="J150" s="46">
        <v>9873</v>
      </c>
      <c r="K150" s="43"/>
      <c r="L150" s="45"/>
      <c r="M150" s="58"/>
      <c r="N150" s="46"/>
      <c r="O150" s="43"/>
      <c r="P150" s="55"/>
      <c r="Q150" s="46"/>
      <c r="R150" s="43"/>
      <c r="S150" s="55"/>
      <c r="T150" s="55"/>
      <c r="U150" s="46"/>
    </row>
    <row r="151" spans="1:21" s="8" customFormat="1" ht="25.5" x14ac:dyDescent="0.2">
      <c r="A151" s="53" t="s">
        <v>136</v>
      </c>
      <c r="B151" s="43"/>
      <c r="C151" s="43"/>
      <c r="D151" s="43">
        <v>13583.414140000001</v>
      </c>
      <c r="E151" s="43"/>
      <c r="F151" s="43"/>
      <c r="G151" s="44"/>
      <c r="H151" s="45"/>
      <c r="I151" s="58">
        <f>3516.58-3516.58</f>
        <v>0</v>
      </c>
      <c r="J151" s="46">
        <f>17100-3516.58</f>
        <v>13583.42</v>
      </c>
      <c r="K151" s="43"/>
      <c r="L151" s="45"/>
      <c r="M151" s="58"/>
      <c r="N151" s="46"/>
      <c r="O151" s="43"/>
      <c r="P151" s="55"/>
      <c r="Q151" s="46"/>
      <c r="R151" s="43"/>
      <c r="S151" s="55"/>
      <c r="T151" s="55"/>
      <c r="U151" s="46"/>
    </row>
    <row r="152" spans="1:21" s="8" customFormat="1" ht="25.5" x14ac:dyDescent="0.2">
      <c r="A152" s="53" t="s">
        <v>153</v>
      </c>
      <c r="B152" s="43"/>
      <c r="C152" s="43"/>
      <c r="D152" s="43"/>
      <c r="E152" s="43"/>
      <c r="F152" s="43"/>
      <c r="G152" s="44"/>
      <c r="H152" s="45"/>
      <c r="I152" s="58">
        <v>5053.58</v>
      </c>
      <c r="J152" s="46"/>
      <c r="K152" s="43"/>
      <c r="L152" s="45"/>
      <c r="M152" s="58"/>
      <c r="N152" s="58">
        <v>5053.5730000000003</v>
      </c>
      <c r="O152" s="43"/>
      <c r="P152" s="55"/>
      <c r="Q152" s="46"/>
      <c r="R152" s="43"/>
      <c r="S152" s="55"/>
      <c r="T152" s="55"/>
      <c r="U152" s="46"/>
    </row>
    <row r="153" spans="1:21" s="8" customFormat="1" ht="25.5" x14ac:dyDescent="0.2">
      <c r="A153" s="53" t="s">
        <v>154</v>
      </c>
      <c r="B153" s="43"/>
      <c r="C153" s="43"/>
      <c r="D153" s="43"/>
      <c r="E153" s="43"/>
      <c r="F153" s="43"/>
      <c r="G153" s="44"/>
      <c r="H153" s="45"/>
      <c r="I153" s="58">
        <v>5071.6099999999997</v>
      </c>
      <c r="J153" s="46"/>
      <c r="K153" s="43"/>
      <c r="L153" s="45"/>
      <c r="M153" s="58"/>
      <c r="N153" s="58">
        <v>5071.6019999999999</v>
      </c>
      <c r="O153" s="43"/>
      <c r="P153" s="55"/>
      <c r="Q153" s="46"/>
      <c r="R153" s="43"/>
      <c r="S153" s="55"/>
      <c r="T153" s="55"/>
      <c r="U153" s="46"/>
    </row>
    <row r="154" spans="1:21" s="8" customFormat="1" ht="42.75" customHeight="1" x14ac:dyDescent="0.2">
      <c r="A154" s="100" t="s">
        <v>162</v>
      </c>
      <c r="B154" s="43"/>
      <c r="C154" s="43"/>
      <c r="D154" s="43"/>
      <c r="E154" s="43"/>
      <c r="F154" s="43"/>
      <c r="G154" s="44"/>
      <c r="H154" s="45"/>
      <c r="I154" s="58"/>
      <c r="J154" s="46"/>
      <c r="K154" s="43"/>
      <c r="L154" s="45"/>
      <c r="M154" s="96">
        <v>2307.08</v>
      </c>
      <c r="N154" s="58"/>
      <c r="O154" s="43"/>
      <c r="P154" s="55"/>
      <c r="Q154" s="96">
        <v>2307.08</v>
      </c>
      <c r="R154" s="43"/>
      <c r="S154" s="55"/>
      <c r="T154" s="55"/>
      <c r="U154" s="46"/>
    </row>
    <row r="155" spans="1:21" s="8" customFormat="1" ht="42.75" customHeight="1" x14ac:dyDescent="0.2">
      <c r="A155" s="100" t="s">
        <v>164</v>
      </c>
      <c r="B155" s="43"/>
      <c r="C155" s="43"/>
      <c r="D155" s="43"/>
      <c r="E155" s="43"/>
      <c r="F155" s="43"/>
      <c r="G155" s="44"/>
      <c r="H155" s="45"/>
      <c r="I155" s="58"/>
      <c r="J155" s="46"/>
      <c r="K155" s="43"/>
      <c r="L155" s="45"/>
      <c r="M155" s="96">
        <v>3969.08</v>
      </c>
      <c r="N155" s="58"/>
      <c r="O155" s="43"/>
      <c r="P155" s="55"/>
      <c r="Q155" s="96">
        <v>3969.08</v>
      </c>
      <c r="R155" s="43"/>
      <c r="S155" s="55"/>
      <c r="T155" s="55"/>
      <c r="U155" s="46"/>
    </row>
    <row r="156" spans="1:21" s="8" customFormat="1" ht="42.75" customHeight="1" x14ac:dyDescent="0.2">
      <c r="A156" s="100" t="s">
        <v>163</v>
      </c>
      <c r="B156" s="43"/>
      <c r="C156" s="43"/>
      <c r="D156" s="43"/>
      <c r="E156" s="43"/>
      <c r="F156" s="43"/>
      <c r="G156" s="44"/>
      <c r="H156" s="45"/>
      <c r="I156" s="58"/>
      <c r="J156" s="46"/>
      <c r="K156" s="43"/>
      <c r="L156" s="45"/>
      <c r="M156" s="96">
        <v>19490.73</v>
      </c>
      <c r="N156" s="58"/>
      <c r="O156" s="43"/>
      <c r="P156" s="55"/>
      <c r="Q156" s="96">
        <v>19490.73</v>
      </c>
      <c r="R156" s="43"/>
      <c r="S156" s="55"/>
      <c r="T156" s="55"/>
      <c r="U156" s="46"/>
    </row>
    <row r="157" spans="1:21" s="8" customFormat="1" x14ac:dyDescent="0.2">
      <c r="A157" s="107" t="s">
        <v>168</v>
      </c>
      <c r="B157" s="43"/>
      <c r="C157" s="43"/>
      <c r="D157" s="43"/>
      <c r="E157" s="43"/>
      <c r="F157" s="43"/>
      <c r="G157" s="44"/>
      <c r="H157" s="45"/>
      <c r="I157" s="58"/>
      <c r="J157" s="46"/>
      <c r="K157" s="43"/>
      <c r="L157" s="45"/>
      <c r="M157" s="58"/>
      <c r="N157" s="58"/>
      <c r="O157" s="43"/>
      <c r="P157" s="55"/>
      <c r="Q157" s="46"/>
      <c r="R157" s="43"/>
      <c r="S157" s="55"/>
      <c r="T157" s="55"/>
      <c r="U157" s="46"/>
    </row>
    <row r="158" spans="1:21" s="8" customFormat="1" x14ac:dyDescent="0.2">
      <c r="A158" s="53" t="s">
        <v>169</v>
      </c>
      <c r="B158" s="43"/>
      <c r="C158" s="43"/>
      <c r="D158" s="43"/>
      <c r="E158" s="43"/>
      <c r="F158" s="43"/>
      <c r="G158" s="44"/>
      <c r="H158" s="45"/>
      <c r="I158" s="58">
        <v>0</v>
      </c>
      <c r="J158" s="46"/>
      <c r="K158" s="43"/>
      <c r="L158" s="45"/>
      <c r="M158" s="58">
        <v>24926</v>
      </c>
      <c r="N158" s="58"/>
      <c r="O158" s="43"/>
      <c r="P158" s="55">
        <v>5600</v>
      </c>
      <c r="Q158" s="46"/>
      <c r="R158" s="43"/>
      <c r="S158" s="55"/>
      <c r="T158" s="55"/>
      <c r="U158" s="46">
        <v>30526</v>
      </c>
    </row>
    <row r="159" spans="1:21" s="8" customFormat="1" x14ac:dyDescent="0.2">
      <c r="A159" s="53" t="s">
        <v>170</v>
      </c>
      <c r="B159" s="43"/>
      <c r="C159" s="43"/>
      <c r="D159" s="43"/>
      <c r="E159" s="43"/>
      <c r="F159" s="43"/>
      <c r="G159" s="44"/>
      <c r="H159" s="45"/>
      <c r="I159" s="58">
        <v>100079</v>
      </c>
      <c r="J159" s="46"/>
      <c r="K159" s="43"/>
      <c r="L159" s="45"/>
      <c r="M159" s="58">
        <v>99900</v>
      </c>
      <c r="N159" s="58"/>
      <c r="O159" s="43"/>
      <c r="P159" s="55">
        <v>5000</v>
      </c>
      <c r="Q159" s="46"/>
      <c r="R159" s="43"/>
      <c r="S159" s="55"/>
      <c r="T159" s="55"/>
      <c r="U159" s="46">
        <v>204979</v>
      </c>
    </row>
    <row r="160" spans="1:21" s="8" customFormat="1" ht="15" customHeight="1" x14ac:dyDescent="0.2">
      <c r="A160" s="53" t="s">
        <v>171</v>
      </c>
      <c r="B160" s="43"/>
      <c r="C160" s="43"/>
      <c r="D160" s="43"/>
      <c r="E160" s="43"/>
      <c r="F160" s="43"/>
      <c r="G160" s="44"/>
      <c r="H160" s="45"/>
      <c r="I160" s="58">
        <v>3064</v>
      </c>
      <c r="J160" s="46"/>
      <c r="K160" s="43"/>
      <c r="L160" s="45"/>
      <c r="M160" s="58">
        <v>305361</v>
      </c>
      <c r="N160" s="58"/>
      <c r="O160" s="43"/>
      <c r="P160" s="55">
        <v>0</v>
      </c>
      <c r="Q160" s="46"/>
      <c r="R160" s="43"/>
      <c r="S160" s="55"/>
      <c r="T160" s="55"/>
      <c r="U160" s="46">
        <v>308425</v>
      </c>
    </row>
    <row r="161" spans="1:21" s="8" customFormat="1" x14ac:dyDescent="0.2">
      <c r="A161" s="53" t="s">
        <v>172</v>
      </c>
      <c r="B161" s="43"/>
      <c r="C161" s="43"/>
      <c r="D161" s="43"/>
      <c r="E161" s="43"/>
      <c r="F161" s="43"/>
      <c r="G161" s="44"/>
      <c r="H161" s="45"/>
      <c r="I161" s="58">
        <v>77321</v>
      </c>
      <c r="J161" s="46"/>
      <c r="K161" s="43"/>
      <c r="L161" s="45"/>
      <c r="M161" s="58">
        <v>110650</v>
      </c>
      <c r="N161" s="58"/>
      <c r="O161" s="43"/>
      <c r="P161" s="55">
        <v>80000</v>
      </c>
      <c r="Q161" s="46"/>
      <c r="R161" s="43"/>
      <c r="S161" s="55"/>
      <c r="T161" s="55"/>
      <c r="U161" s="46">
        <v>267971</v>
      </c>
    </row>
    <row r="162" spans="1:21" s="8" customFormat="1" x14ac:dyDescent="0.2">
      <c r="A162" s="53" t="s">
        <v>173</v>
      </c>
      <c r="B162" s="43"/>
      <c r="C162" s="43"/>
      <c r="D162" s="43"/>
      <c r="E162" s="43"/>
      <c r="F162" s="43"/>
      <c r="G162" s="44"/>
      <c r="H162" s="45"/>
      <c r="I162" s="58">
        <v>31886.7</v>
      </c>
      <c r="J162" s="46"/>
      <c r="K162" s="43"/>
      <c r="L162" s="45"/>
      <c r="M162" s="58">
        <v>120184.2</v>
      </c>
      <c r="N162" s="58"/>
      <c r="O162" s="43"/>
      <c r="P162" s="55">
        <v>38200</v>
      </c>
      <c r="Q162" s="46"/>
      <c r="R162" s="43"/>
      <c r="S162" s="55"/>
      <c r="T162" s="55"/>
      <c r="U162" s="46">
        <v>190270.9</v>
      </c>
    </row>
    <row r="163" spans="1:21" s="8" customFormat="1" x14ac:dyDescent="0.2">
      <c r="A163" s="53" t="s">
        <v>174</v>
      </c>
      <c r="B163" s="43"/>
      <c r="C163" s="43"/>
      <c r="D163" s="43"/>
      <c r="E163" s="43"/>
      <c r="F163" s="43"/>
      <c r="G163" s="44"/>
      <c r="H163" s="45"/>
      <c r="I163" s="58">
        <v>94775</v>
      </c>
      <c r="J163" s="46"/>
      <c r="K163" s="43"/>
      <c r="L163" s="45"/>
      <c r="M163" s="58">
        <v>195375.26500000001</v>
      </c>
      <c r="N163" s="58"/>
      <c r="O163" s="43"/>
      <c r="P163" s="55">
        <v>41980</v>
      </c>
      <c r="Q163" s="46"/>
      <c r="R163" s="43"/>
      <c r="S163" s="55"/>
      <c r="T163" s="55"/>
      <c r="U163" s="46">
        <v>332130.26500000001</v>
      </c>
    </row>
    <row r="164" spans="1:21" s="8" customFormat="1" x14ac:dyDescent="0.2">
      <c r="A164" s="53" t="s">
        <v>175</v>
      </c>
      <c r="B164" s="43"/>
      <c r="C164" s="43"/>
      <c r="D164" s="43"/>
      <c r="E164" s="43"/>
      <c r="F164" s="43"/>
      <c r="G164" s="44"/>
      <c r="H164" s="45"/>
      <c r="I164" s="58">
        <v>41932.316560000007</v>
      </c>
      <c r="J164" s="46"/>
      <c r="K164" s="43"/>
      <c r="L164" s="45"/>
      <c r="M164" s="58">
        <v>40572.828000000009</v>
      </c>
      <c r="N164" s="58"/>
      <c r="O164" s="43"/>
      <c r="P164" s="55">
        <v>62651.048999999999</v>
      </c>
      <c r="Q164" s="46"/>
      <c r="R164" s="43"/>
      <c r="S164" s="55"/>
      <c r="T164" s="55"/>
      <c r="U164" s="46">
        <v>145156.19356000001</v>
      </c>
    </row>
    <row r="165" spans="1:21" s="8" customFormat="1" x14ac:dyDescent="0.2">
      <c r="A165" s="53" t="s">
        <v>176</v>
      </c>
      <c r="B165" s="43"/>
      <c r="C165" s="43"/>
      <c r="D165" s="43"/>
      <c r="E165" s="43"/>
      <c r="F165" s="43"/>
      <c r="G165" s="44"/>
      <c r="H165" s="45"/>
      <c r="I165" s="58">
        <v>0</v>
      </c>
      <c r="J165" s="46"/>
      <c r="K165" s="43"/>
      <c r="L165" s="45"/>
      <c r="M165" s="58">
        <v>0</v>
      </c>
      <c r="N165" s="58"/>
      <c r="O165" s="43"/>
      <c r="P165" s="55">
        <v>0</v>
      </c>
      <c r="Q165" s="46"/>
      <c r="R165" s="43"/>
      <c r="S165" s="55"/>
      <c r="T165" s="55"/>
      <c r="U165" s="46">
        <v>0</v>
      </c>
    </row>
    <row r="166" spans="1:21" s="8" customFormat="1" x14ac:dyDescent="0.2">
      <c r="A166" s="53" t="s">
        <v>177</v>
      </c>
      <c r="B166" s="43"/>
      <c r="C166" s="43"/>
      <c r="D166" s="43"/>
      <c r="E166" s="43"/>
      <c r="F166" s="43"/>
      <c r="G166" s="44"/>
      <c r="H166" s="45"/>
      <c r="I166" s="58">
        <v>42290</v>
      </c>
      <c r="J166" s="46"/>
      <c r="K166" s="43"/>
      <c r="L166" s="45"/>
      <c r="M166" s="58">
        <v>3370</v>
      </c>
      <c r="N166" s="58"/>
      <c r="O166" s="43"/>
      <c r="P166" s="55">
        <v>11600</v>
      </c>
      <c r="Q166" s="46"/>
      <c r="R166" s="43"/>
      <c r="S166" s="55"/>
      <c r="T166" s="55"/>
      <c r="U166" s="46">
        <v>57260</v>
      </c>
    </row>
    <row r="167" spans="1:21" s="8" customFormat="1" x14ac:dyDescent="0.2">
      <c r="A167" s="53" t="s">
        <v>178</v>
      </c>
      <c r="B167" s="43"/>
      <c r="C167" s="43"/>
      <c r="D167" s="43"/>
      <c r="E167" s="43"/>
      <c r="F167" s="43"/>
      <c r="G167" s="44"/>
      <c r="H167" s="45"/>
      <c r="I167" s="58">
        <v>442</v>
      </c>
      <c r="J167" s="46"/>
      <c r="K167" s="43"/>
      <c r="L167" s="45"/>
      <c r="M167" s="58">
        <v>71415.120999999999</v>
      </c>
      <c r="N167" s="58"/>
      <c r="O167" s="43"/>
      <c r="P167" s="55">
        <v>22987</v>
      </c>
      <c r="Q167" s="46"/>
      <c r="R167" s="43"/>
      <c r="S167" s="55"/>
      <c r="T167" s="55"/>
      <c r="U167" s="46">
        <v>94844.120999999999</v>
      </c>
    </row>
    <row r="168" spans="1:21" s="8" customFormat="1" x14ac:dyDescent="0.2">
      <c r="A168" s="53"/>
      <c r="B168" s="43"/>
      <c r="C168" s="43"/>
      <c r="D168" s="43"/>
      <c r="E168" s="43"/>
      <c r="F168" s="43"/>
      <c r="G168" s="44"/>
      <c r="H168" s="45"/>
      <c r="I168" s="58"/>
      <c r="J168" s="46"/>
      <c r="K168" s="43"/>
      <c r="L168" s="45"/>
      <c r="M168" s="58"/>
      <c r="N168" s="58"/>
      <c r="O168" s="43"/>
      <c r="P168" s="55"/>
      <c r="Q168" s="46"/>
      <c r="R168" s="43"/>
      <c r="S168" s="55"/>
      <c r="T168" s="55"/>
      <c r="U168" s="46"/>
    </row>
    <row r="169" spans="1:21" s="8" customFormat="1" x14ac:dyDescent="0.2">
      <c r="A169" s="17" t="s">
        <v>138</v>
      </c>
      <c r="B169" s="25">
        <f>SUM(B126:B156)</f>
        <v>0</v>
      </c>
      <c r="C169" s="25">
        <f t="shared" ref="C169" si="10">SUM(C126:C156)</f>
        <v>0</v>
      </c>
      <c r="D169" s="25">
        <f>SUM(D126:D167)</f>
        <v>148609.02007999999</v>
      </c>
      <c r="E169" s="25">
        <f t="shared" ref="E169:U169" si="11">SUM(E126:E167)</f>
        <v>50290.154999999999</v>
      </c>
      <c r="F169" s="25">
        <f t="shared" si="11"/>
        <v>0</v>
      </c>
      <c r="G169" s="25">
        <f t="shared" si="11"/>
        <v>0</v>
      </c>
      <c r="H169" s="25">
        <f t="shared" si="11"/>
        <v>0</v>
      </c>
      <c r="I169" s="25">
        <f t="shared" si="11"/>
        <v>513424.26656000002</v>
      </c>
      <c r="J169" s="25">
        <f t="shared" si="11"/>
        <v>183036.73</v>
      </c>
      <c r="K169" s="25">
        <f t="shared" si="11"/>
        <v>0</v>
      </c>
      <c r="L169" s="25">
        <f t="shared" si="11"/>
        <v>0</v>
      </c>
      <c r="M169" s="25">
        <f t="shared" si="11"/>
        <v>997521.304</v>
      </c>
      <c r="N169" s="25">
        <f t="shared" si="11"/>
        <v>62662.595000000001</v>
      </c>
      <c r="O169" s="25">
        <f t="shared" si="11"/>
        <v>0</v>
      </c>
      <c r="P169" s="25">
        <f t="shared" si="11"/>
        <v>268018.049</v>
      </c>
      <c r="Q169" s="25">
        <f t="shared" si="11"/>
        <v>25766.89</v>
      </c>
      <c r="R169" s="25">
        <f t="shared" si="11"/>
        <v>0</v>
      </c>
      <c r="S169" s="25">
        <f t="shared" si="11"/>
        <v>0</v>
      </c>
      <c r="T169" s="25">
        <f t="shared" si="11"/>
        <v>0</v>
      </c>
      <c r="U169" s="25">
        <f t="shared" si="11"/>
        <v>1631562.4795600001</v>
      </c>
    </row>
    <row r="170" spans="1:21" s="8" customFormat="1" x14ac:dyDescent="0.2">
      <c r="A170" s="2"/>
      <c r="B170" s="29"/>
      <c r="C170" s="29"/>
      <c r="D170" s="29"/>
      <c r="E170" s="29"/>
      <c r="F170" s="29"/>
      <c r="G170" s="3"/>
      <c r="H170" s="3"/>
      <c r="I170" s="3"/>
      <c r="J170" s="64"/>
      <c r="K170" s="29"/>
      <c r="L170" s="3"/>
      <c r="M170" s="3"/>
      <c r="N170" s="30"/>
      <c r="O170" s="29"/>
      <c r="P170" s="3"/>
      <c r="Q170" s="30"/>
      <c r="R170" s="29"/>
      <c r="S170" s="3"/>
      <c r="T170" s="3"/>
      <c r="U170" s="30"/>
    </row>
    <row r="171" spans="1:21" s="8" customFormat="1" ht="13.5" thickBot="1" x14ac:dyDescent="0.25">
      <c r="A171" s="13" t="s">
        <v>6</v>
      </c>
      <c r="B171" s="48">
        <v>0</v>
      </c>
      <c r="C171" s="48">
        <v>484254.09123000002</v>
      </c>
      <c r="D171" s="48">
        <f t="shared" ref="D171:U171" si="12">SUM(D169,D123,D121,D116,D113,D103,D62,D49,D34)</f>
        <v>460897.52007999999</v>
      </c>
      <c r="E171" s="48">
        <f t="shared" si="12"/>
        <v>382266.45500000002</v>
      </c>
      <c r="F171" s="48">
        <f t="shared" si="12"/>
        <v>199479.2</v>
      </c>
      <c r="G171" s="48">
        <f t="shared" si="12"/>
        <v>0</v>
      </c>
      <c r="H171" s="48">
        <f t="shared" si="12"/>
        <v>730240</v>
      </c>
      <c r="I171" s="48">
        <f t="shared" si="12"/>
        <v>1201778.5365600002</v>
      </c>
      <c r="J171" s="48">
        <f t="shared" si="12"/>
        <v>767303.78</v>
      </c>
      <c r="K171" s="48">
        <f t="shared" si="12"/>
        <v>0</v>
      </c>
      <c r="L171" s="48">
        <f t="shared" si="12"/>
        <v>1018249</v>
      </c>
      <c r="M171" s="48">
        <f t="shared" si="12"/>
        <v>1916848.8840000001</v>
      </c>
      <c r="N171" s="48">
        <f t="shared" si="12"/>
        <v>790900.58499999996</v>
      </c>
      <c r="O171" s="48">
        <f t="shared" si="12"/>
        <v>471228</v>
      </c>
      <c r="P171" s="48">
        <f t="shared" si="12"/>
        <v>1074172.0490000001</v>
      </c>
      <c r="Q171" s="48">
        <f t="shared" si="12"/>
        <v>1439281.8900000001</v>
      </c>
      <c r="R171" s="48">
        <f t="shared" si="12"/>
        <v>671044</v>
      </c>
      <c r="S171" s="48">
        <f t="shared" si="12"/>
        <v>0</v>
      </c>
      <c r="T171" s="48">
        <f t="shared" si="12"/>
        <v>0</v>
      </c>
      <c r="U171" s="48">
        <f t="shared" si="12"/>
        <v>1757177.4795600001</v>
      </c>
    </row>
    <row r="173" spans="1:21" s="14" customFormat="1" x14ac:dyDescent="0.2">
      <c r="A173" s="4"/>
      <c r="B173" s="4">
        <v>2019</v>
      </c>
      <c r="C173" s="4">
        <v>2020</v>
      </c>
      <c r="D173" s="4">
        <v>2021</v>
      </c>
      <c r="E173" s="4">
        <v>2022</v>
      </c>
      <c r="F173" s="4">
        <v>2023</v>
      </c>
      <c r="G173" s="4">
        <v>2024</v>
      </c>
      <c r="H173" s="4" t="s">
        <v>146</v>
      </c>
    </row>
    <row r="174" spans="1:21" s="14" customFormat="1" x14ac:dyDescent="0.2">
      <c r="A174" s="49" t="s">
        <v>33</v>
      </c>
      <c r="B174" s="10"/>
      <c r="C174" s="10"/>
      <c r="D174" s="10">
        <f>F171</f>
        <v>199479.2</v>
      </c>
      <c r="E174" s="10"/>
      <c r="F174" s="10"/>
      <c r="G174" s="10"/>
      <c r="H174" s="10">
        <f>SUM(B174:G174)</f>
        <v>199479.2</v>
      </c>
    </row>
    <row r="175" spans="1:21" s="14" customFormat="1" x14ac:dyDescent="0.2">
      <c r="A175" s="49" t="s">
        <v>152</v>
      </c>
      <c r="B175" s="10"/>
      <c r="C175" s="10"/>
      <c r="D175" s="10">
        <f>H171</f>
        <v>730240</v>
      </c>
      <c r="E175" s="10">
        <f>L171</f>
        <v>1018249</v>
      </c>
      <c r="F175" s="10">
        <f>O171</f>
        <v>471228</v>
      </c>
      <c r="G175" s="10">
        <f>R171</f>
        <v>671044</v>
      </c>
      <c r="H175" s="10">
        <f t="shared" ref="H175:H177" si="13">SUM(B175:G175)</f>
        <v>2890761</v>
      </c>
      <c r="I175" s="88">
        <f>H175-3000000</f>
        <v>-109239</v>
      </c>
    </row>
    <row r="176" spans="1:21" s="14" customFormat="1" ht="13.5" thickBot="1" x14ac:dyDescent="0.25">
      <c r="A176" s="76"/>
      <c r="B176" s="77"/>
      <c r="C176" s="77"/>
      <c r="D176" s="77"/>
      <c r="E176" s="77"/>
      <c r="F176" s="77"/>
      <c r="G176" s="77"/>
      <c r="H176" s="77"/>
    </row>
    <row r="177" spans="1:9" s="14" customFormat="1" x14ac:dyDescent="0.2">
      <c r="A177" s="78" t="s">
        <v>145</v>
      </c>
      <c r="B177" s="79">
        <f>C171</f>
        <v>484254.09123000002</v>
      </c>
      <c r="C177" s="79">
        <f>D171</f>
        <v>460897.52007999999</v>
      </c>
      <c r="D177" s="79">
        <f>G171+I171</f>
        <v>1201778.5365600002</v>
      </c>
      <c r="E177" s="79">
        <f>M171</f>
        <v>1916848.8840000001</v>
      </c>
      <c r="F177" s="79">
        <f>P171</f>
        <v>1074172.0490000001</v>
      </c>
      <c r="G177" s="79">
        <f>T171</f>
        <v>0</v>
      </c>
      <c r="H177" s="80">
        <f t="shared" si="13"/>
        <v>5137951.0808700006</v>
      </c>
    </row>
    <row r="178" spans="1:9" s="14" customFormat="1" x14ac:dyDescent="0.2">
      <c r="A178" s="81" t="s">
        <v>141</v>
      </c>
      <c r="B178" s="10"/>
      <c r="C178" s="10">
        <f>E171</f>
        <v>382266.45500000002</v>
      </c>
      <c r="D178" s="10">
        <f>J171</f>
        <v>767303.78</v>
      </c>
      <c r="E178" s="10">
        <f>N171</f>
        <v>790900.58499999996</v>
      </c>
      <c r="F178" s="10">
        <f>Q171</f>
        <v>1439281.8900000001</v>
      </c>
      <c r="G178" s="10">
        <f>U171+S124</f>
        <v>1757177.4795600001</v>
      </c>
      <c r="H178" s="82">
        <f>SUM(B178:G178)</f>
        <v>5136930.1895599999</v>
      </c>
      <c r="I178" s="14">
        <f>H177-H178</f>
        <v>1020.8913100007921</v>
      </c>
    </row>
    <row r="179" spans="1:9" s="14" customFormat="1" ht="13.5" thickBot="1" x14ac:dyDescent="0.25">
      <c r="A179" s="83" t="s">
        <v>150</v>
      </c>
      <c r="B179" s="84"/>
      <c r="C179" s="85">
        <f>B177+C177-C178</f>
        <v>562885.15630999999</v>
      </c>
      <c r="D179" s="85">
        <f>C179+D177-D178</f>
        <v>997359.91287000012</v>
      </c>
      <c r="E179" s="108">
        <f>D179+E177-E178</f>
        <v>2123308.2118700002</v>
      </c>
      <c r="F179" s="108">
        <f t="shared" ref="F179:G179" si="14">E179+F177-F178</f>
        <v>1758198.3708700002</v>
      </c>
      <c r="G179" s="85">
        <f t="shared" si="14"/>
        <v>1020.8913100000937</v>
      </c>
      <c r="H179" s="86"/>
    </row>
  </sheetData>
  <autoFilter ref="A1:U116" xr:uid="{4ABA3BC3-8023-4B4C-A20D-DE4822BA870B}"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5">
    <mergeCell ref="A1:A2"/>
    <mergeCell ref="F1:J1"/>
    <mergeCell ref="K1:N1"/>
    <mergeCell ref="O1:Q1"/>
    <mergeCell ref="R1:U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2276B-4806-429E-A459-96A67C7E6AE1}">
  <sheetPr>
    <tabColor rgb="FFFF0000"/>
  </sheetPr>
  <dimension ref="A1:U179"/>
  <sheetViews>
    <sheetView workbookViewId="0">
      <selection sqref="A1:A2"/>
    </sheetView>
  </sheetViews>
  <sheetFormatPr defaultColWidth="9.140625" defaultRowHeight="12.75" x14ac:dyDescent="0.2"/>
  <cols>
    <col min="1" max="1" width="52.42578125" style="4" customWidth="1"/>
    <col min="2" max="21" width="14.7109375" style="14" customWidth="1"/>
    <col min="22" max="16384" width="9.140625" style="4"/>
  </cols>
  <sheetData>
    <row r="1" spans="1:21" ht="21" customHeight="1" x14ac:dyDescent="0.2">
      <c r="A1" s="372" t="s">
        <v>0</v>
      </c>
      <c r="B1" s="71">
        <v>2018</v>
      </c>
      <c r="C1" s="71" t="s">
        <v>149</v>
      </c>
      <c r="D1" s="71" t="s">
        <v>147</v>
      </c>
      <c r="E1" s="71" t="s">
        <v>148</v>
      </c>
      <c r="F1" s="374" t="s">
        <v>113</v>
      </c>
      <c r="G1" s="368"/>
      <c r="H1" s="368"/>
      <c r="I1" s="368"/>
      <c r="J1" s="375"/>
      <c r="K1" s="367" t="s">
        <v>114</v>
      </c>
      <c r="L1" s="370"/>
      <c r="M1" s="371"/>
      <c r="N1" s="369"/>
      <c r="O1" s="367" t="s">
        <v>115</v>
      </c>
      <c r="P1" s="368"/>
      <c r="Q1" s="369"/>
      <c r="R1" s="367" t="s">
        <v>116</v>
      </c>
      <c r="S1" s="368"/>
      <c r="T1" s="368"/>
      <c r="U1" s="369"/>
    </row>
    <row r="2" spans="1:21" ht="25.5" x14ac:dyDescent="0.2">
      <c r="A2" s="373"/>
      <c r="B2" s="21"/>
      <c r="C2" s="21"/>
      <c r="D2" s="21"/>
      <c r="E2" s="21"/>
      <c r="F2" s="21" t="s">
        <v>143</v>
      </c>
      <c r="G2" s="75" t="s">
        <v>36</v>
      </c>
      <c r="H2" s="5" t="s">
        <v>152</v>
      </c>
      <c r="I2" s="57" t="s">
        <v>139</v>
      </c>
      <c r="J2" s="22" t="s">
        <v>140</v>
      </c>
      <c r="K2" s="21" t="s">
        <v>143</v>
      </c>
      <c r="L2" s="5" t="s">
        <v>152</v>
      </c>
      <c r="M2" s="57" t="s">
        <v>139</v>
      </c>
      <c r="N2" s="22" t="s">
        <v>140</v>
      </c>
      <c r="O2" s="5" t="s">
        <v>152</v>
      </c>
      <c r="P2" s="57" t="s">
        <v>139</v>
      </c>
      <c r="Q2" s="22" t="s">
        <v>140</v>
      </c>
      <c r="R2" s="5" t="s">
        <v>152</v>
      </c>
      <c r="S2" s="75" t="s">
        <v>36</v>
      </c>
      <c r="T2" s="57" t="s">
        <v>139</v>
      </c>
      <c r="U2" s="22" t="s">
        <v>140</v>
      </c>
    </row>
    <row r="3" spans="1:21" s="37" customFormat="1" x14ac:dyDescent="0.2">
      <c r="A3" s="38" t="s">
        <v>94</v>
      </c>
      <c r="B3" s="43"/>
      <c r="C3" s="43"/>
      <c r="D3" s="43"/>
      <c r="E3" s="43"/>
      <c r="F3" s="43"/>
      <c r="G3" s="44"/>
      <c r="H3" s="45"/>
      <c r="I3" s="58">
        <v>61500</v>
      </c>
      <c r="J3" s="46"/>
      <c r="K3" s="43"/>
      <c r="L3" s="45"/>
      <c r="M3" s="45">
        <v>12000</v>
      </c>
      <c r="N3" s="46">
        <v>73500</v>
      </c>
      <c r="O3" s="43"/>
      <c r="P3" s="45"/>
      <c r="Q3" s="46"/>
      <c r="R3" s="43"/>
      <c r="S3" s="55"/>
      <c r="T3" s="55"/>
      <c r="U3" s="46"/>
    </row>
    <row r="4" spans="1:21" s="37" customFormat="1" x14ac:dyDescent="0.2">
      <c r="A4" s="38" t="s">
        <v>95</v>
      </c>
      <c r="B4" s="43"/>
      <c r="C4" s="43"/>
      <c r="D4" s="43"/>
      <c r="E4" s="43"/>
      <c r="F4" s="43"/>
      <c r="G4" s="44"/>
      <c r="H4" s="45"/>
      <c r="I4" s="58"/>
      <c r="J4" s="46"/>
      <c r="K4" s="43"/>
      <c r="L4" s="45"/>
      <c r="M4" s="45">
        <v>41615</v>
      </c>
      <c r="N4" s="46"/>
      <c r="O4" s="43"/>
      <c r="P4" s="45">
        <v>125000</v>
      </c>
      <c r="Q4" s="46">
        <v>41000</v>
      </c>
      <c r="R4" s="43"/>
      <c r="S4" s="55"/>
      <c r="T4" s="55"/>
      <c r="U4" s="46">
        <v>125615</v>
      </c>
    </row>
    <row r="5" spans="1:21" s="37" customFormat="1" ht="25.5" x14ac:dyDescent="0.2">
      <c r="A5" s="38" t="s">
        <v>96</v>
      </c>
      <c r="B5" s="43"/>
      <c r="C5" s="43"/>
      <c r="D5" s="43"/>
      <c r="E5" s="43"/>
      <c r="F5" s="43"/>
      <c r="G5" s="44"/>
      <c r="H5" s="45"/>
      <c r="I5" s="58">
        <v>61250</v>
      </c>
      <c r="J5" s="46"/>
      <c r="K5" s="43"/>
      <c r="L5" s="45"/>
      <c r="M5" s="45"/>
      <c r="N5" s="46">
        <v>61250</v>
      </c>
      <c r="O5" s="43"/>
      <c r="P5" s="45"/>
      <c r="Q5" s="46"/>
      <c r="R5" s="43"/>
      <c r="S5" s="55"/>
      <c r="T5" s="55"/>
      <c r="U5" s="46"/>
    </row>
    <row r="6" spans="1:21" s="37" customFormat="1" x14ac:dyDescent="0.2">
      <c r="A6" s="38" t="s">
        <v>97</v>
      </c>
      <c r="B6" s="43"/>
      <c r="C6" s="43"/>
      <c r="D6" s="43"/>
      <c r="E6" s="43">
        <v>49812.41</v>
      </c>
      <c r="F6" s="43"/>
      <c r="G6" s="44"/>
      <c r="H6" s="45"/>
      <c r="I6" s="58"/>
      <c r="J6" s="46"/>
      <c r="K6" s="43"/>
      <c r="L6" s="45"/>
      <c r="M6" s="45"/>
      <c r="N6" s="46"/>
      <c r="O6" s="43"/>
      <c r="P6" s="45"/>
      <c r="Q6" s="46"/>
      <c r="R6" s="43"/>
      <c r="S6" s="55"/>
      <c r="T6" s="55"/>
      <c r="U6" s="46"/>
    </row>
    <row r="7" spans="1:21" s="37" customFormat="1" x14ac:dyDescent="0.2">
      <c r="A7" s="39" t="s">
        <v>37</v>
      </c>
      <c r="B7" s="43"/>
      <c r="C7" s="43"/>
      <c r="D7" s="43">
        <v>26008.13</v>
      </c>
      <c r="E7" s="43"/>
      <c r="F7" s="43"/>
      <c r="G7" s="44"/>
      <c r="H7" s="45"/>
      <c r="I7" s="58"/>
      <c r="J7" s="46">
        <v>26375</v>
      </c>
      <c r="K7" s="43"/>
      <c r="L7" s="45"/>
      <c r="M7" s="45"/>
      <c r="N7" s="46"/>
      <c r="O7" s="43"/>
      <c r="P7" s="45"/>
      <c r="Q7" s="46"/>
      <c r="R7" s="43"/>
      <c r="S7" s="55"/>
      <c r="T7" s="55"/>
      <c r="U7" s="46"/>
    </row>
    <row r="8" spans="1:21" s="37" customFormat="1" x14ac:dyDescent="0.2">
      <c r="A8" s="39" t="s">
        <v>39</v>
      </c>
      <c r="B8" s="43"/>
      <c r="C8" s="43"/>
      <c r="D8" s="43"/>
      <c r="E8" s="43">
        <v>28692.21</v>
      </c>
      <c r="F8" s="43"/>
      <c r="G8" s="44"/>
      <c r="H8" s="45"/>
      <c r="I8" s="58"/>
      <c r="J8" s="46"/>
      <c r="K8" s="43"/>
      <c r="L8" s="45"/>
      <c r="M8" s="45"/>
      <c r="N8" s="46"/>
      <c r="O8" s="43"/>
      <c r="P8" s="45"/>
      <c r="Q8" s="46"/>
      <c r="R8" s="43"/>
      <c r="S8" s="55"/>
      <c r="T8" s="55"/>
      <c r="U8" s="46"/>
    </row>
    <row r="9" spans="1:21" s="37" customFormat="1" x14ac:dyDescent="0.2">
      <c r="A9" s="39" t="s">
        <v>142</v>
      </c>
      <c r="B9" s="43"/>
      <c r="C9" s="43"/>
      <c r="D9" s="43">
        <v>35376.769999999997</v>
      </c>
      <c r="E9" s="43"/>
      <c r="F9" s="43"/>
      <c r="G9" s="44"/>
      <c r="H9" s="45"/>
      <c r="I9" s="58"/>
      <c r="J9" s="46">
        <v>128368</v>
      </c>
      <c r="K9" s="43"/>
      <c r="L9" s="45"/>
      <c r="M9" s="45"/>
      <c r="N9" s="46"/>
      <c r="O9" s="43"/>
      <c r="P9" s="45"/>
      <c r="Q9" s="46"/>
      <c r="R9" s="43"/>
      <c r="S9" s="55"/>
      <c r="T9" s="55"/>
      <c r="U9" s="46"/>
    </row>
    <row r="10" spans="1:21" s="37" customFormat="1" ht="25.5" x14ac:dyDescent="0.2">
      <c r="A10" s="39" t="s">
        <v>38</v>
      </c>
      <c r="B10" s="43"/>
      <c r="C10" s="43"/>
      <c r="D10" s="43">
        <v>33997.089999999997</v>
      </c>
      <c r="E10" s="43"/>
      <c r="F10" s="43"/>
      <c r="G10" s="44"/>
      <c r="H10" s="45"/>
      <c r="I10" s="58"/>
      <c r="J10" s="46">
        <v>68490.75</v>
      </c>
      <c r="K10" s="43"/>
      <c r="L10" s="45"/>
      <c r="M10" s="45"/>
      <c r="N10" s="46"/>
      <c r="O10" s="43"/>
      <c r="P10" s="45"/>
      <c r="Q10" s="46"/>
      <c r="R10" s="43"/>
      <c r="S10" s="55"/>
      <c r="T10" s="55"/>
      <c r="U10" s="46"/>
    </row>
    <row r="11" spans="1:21" s="37" customFormat="1" ht="25.5" x14ac:dyDescent="0.2">
      <c r="A11" s="39" t="s">
        <v>40</v>
      </c>
      <c r="B11" s="43"/>
      <c r="C11" s="43"/>
      <c r="D11" s="43">
        <v>20356.8</v>
      </c>
      <c r="E11" s="43">
        <v>82232.67</v>
      </c>
      <c r="F11" s="43"/>
      <c r="G11" s="44"/>
      <c r="H11" s="45"/>
      <c r="I11" s="58"/>
      <c r="J11" s="46"/>
      <c r="K11" s="43"/>
      <c r="L11" s="45"/>
      <c r="M11" s="45"/>
      <c r="N11" s="46"/>
      <c r="O11" s="43"/>
      <c r="P11" s="45"/>
      <c r="Q11" s="46"/>
      <c r="R11" s="43"/>
      <c r="S11" s="55"/>
      <c r="T11" s="55"/>
      <c r="U11" s="46"/>
    </row>
    <row r="12" spans="1:21" s="37" customFormat="1" ht="25.5" x14ac:dyDescent="0.2">
      <c r="A12" s="39" t="s">
        <v>41</v>
      </c>
      <c r="B12" s="43"/>
      <c r="C12" s="43"/>
      <c r="D12" s="43">
        <v>190.46</v>
      </c>
      <c r="E12" s="43"/>
      <c r="F12" s="43"/>
      <c r="G12" s="44"/>
      <c r="H12" s="45"/>
      <c r="I12" s="58">
        <f>40720+2059.53</f>
        <v>42779.53</v>
      </c>
      <c r="J12" s="46">
        <v>42970</v>
      </c>
      <c r="K12" s="43"/>
      <c r="L12" s="45"/>
      <c r="M12" s="45"/>
      <c r="N12" s="46"/>
      <c r="O12" s="43"/>
      <c r="P12" s="45"/>
      <c r="Q12" s="46"/>
      <c r="R12" s="43"/>
      <c r="S12" s="55"/>
      <c r="T12" s="55"/>
      <c r="U12" s="46"/>
    </row>
    <row r="13" spans="1:21" s="37" customFormat="1" ht="25.5" x14ac:dyDescent="0.2">
      <c r="A13" s="39" t="s">
        <v>43</v>
      </c>
      <c r="B13" s="43"/>
      <c r="C13" s="43"/>
      <c r="D13" s="43"/>
      <c r="E13" s="43"/>
      <c r="F13" s="43"/>
      <c r="G13" s="44"/>
      <c r="H13" s="45"/>
      <c r="I13" s="58">
        <v>73420</v>
      </c>
      <c r="J13" s="46"/>
      <c r="K13" s="43"/>
      <c r="L13" s="45"/>
      <c r="M13" s="45"/>
      <c r="N13" s="46">
        <v>73420</v>
      </c>
      <c r="O13" s="43"/>
      <c r="P13" s="45"/>
      <c r="Q13" s="46"/>
      <c r="R13" s="43"/>
      <c r="S13" s="55"/>
      <c r="T13" s="55"/>
      <c r="U13" s="46"/>
    </row>
    <row r="14" spans="1:21" s="37" customFormat="1" ht="25.5" x14ac:dyDescent="0.2">
      <c r="A14" s="39" t="s">
        <v>42</v>
      </c>
      <c r="B14" s="43"/>
      <c r="C14" s="43"/>
      <c r="D14" s="43"/>
      <c r="E14" s="43">
        <v>46106.89</v>
      </c>
      <c r="F14" s="43"/>
      <c r="G14" s="44"/>
      <c r="H14" s="45"/>
      <c r="I14" s="58"/>
      <c r="J14" s="46"/>
      <c r="K14" s="43"/>
      <c r="L14" s="45"/>
      <c r="M14" s="45"/>
      <c r="N14" s="46"/>
      <c r="O14" s="43"/>
      <c r="P14" s="45"/>
      <c r="Q14" s="46"/>
      <c r="R14" s="43"/>
      <c r="S14" s="55"/>
      <c r="T14" s="55"/>
      <c r="U14" s="46"/>
    </row>
    <row r="15" spans="1:21" s="37" customFormat="1" x14ac:dyDescent="0.2">
      <c r="A15" s="39" t="s">
        <v>44</v>
      </c>
      <c r="B15" s="43"/>
      <c r="C15" s="43"/>
      <c r="D15" s="43"/>
      <c r="E15" s="43"/>
      <c r="F15" s="43"/>
      <c r="G15" s="44"/>
      <c r="H15" s="45"/>
      <c r="I15" s="58">
        <v>39283</v>
      </c>
      <c r="J15" s="46">
        <v>39283</v>
      </c>
      <c r="K15" s="43"/>
      <c r="L15" s="45"/>
      <c r="M15" s="45"/>
      <c r="N15" s="46"/>
      <c r="O15" s="43"/>
      <c r="P15" s="45"/>
      <c r="Q15" s="46"/>
      <c r="R15" s="43"/>
      <c r="S15" s="55"/>
      <c r="T15" s="55"/>
      <c r="U15" s="46"/>
    </row>
    <row r="16" spans="1:21" s="37" customFormat="1" x14ac:dyDescent="0.2">
      <c r="A16" s="39" t="s">
        <v>45</v>
      </c>
      <c r="B16" s="43"/>
      <c r="C16" s="43"/>
      <c r="D16" s="43">
        <v>27498.560000000001</v>
      </c>
      <c r="E16" s="43"/>
      <c r="F16" s="43"/>
      <c r="G16" s="44"/>
      <c r="H16" s="45"/>
      <c r="I16" s="58">
        <v>1265.94</v>
      </c>
      <c r="J16" s="46">
        <v>28764.5</v>
      </c>
      <c r="K16" s="43"/>
      <c r="L16" s="45"/>
      <c r="M16" s="45"/>
      <c r="N16" s="46"/>
      <c r="O16" s="43"/>
      <c r="P16" s="45"/>
      <c r="Q16" s="46"/>
      <c r="R16" s="43"/>
      <c r="S16" s="55"/>
      <c r="T16" s="55"/>
      <c r="U16" s="46"/>
    </row>
    <row r="17" spans="1:21" s="37" customFormat="1" ht="25.5" x14ac:dyDescent="0.2">
      <c r="A17" s="39" t="s">
        <v>46</v>
      </c>
      <c r="B17" s="43"/>
      <c r="C17" s="43"/>
      <c r="D17" s="43"/>
      <c r="E17" s="43"/>
      <c r="F17" s="43"/>
      <c r="G17" s="44"/>
      <c r="H17" s="45"/>
      <c r="I17" s="58"/>
      <c r="J17" s="46"/>
      <c r="K17" s="43"/>
      <c r="L17" s="45"/>
      <c r="M17" s="45"/>
      <c r="N17" s="46"/>
      <c r="O17" s="43"/>
      <c r="P17" s="45">
        <v>63270</v>
      </c>
      <c r="Q17" s="46">
        <v>63270</v>
      </c>
      <c r="R17" s="43"/>
      <c r="S17" s="55"/>
      <c r="T17" s="55"/>
      <c r="U17" s="46"/>
    </row>
    <row r="18" spans="1:21" s="37" customFormat="1" x14ac:dyDescent="0.2">
      <c r="A18" s="39" t="s">
        <v>47</v>
      </c>
      <c r="B18" s="43"/>
      <c r="C18" s="43"/>
      <c r="D18" s="43"/>
      <c r="E18" s="43"/>
      <c r="F18" s="43"/>
      <c r="G18" s="44"/>
      <c r="H18" s="45"/>
      <c r="I18" s="58">
        <v>60100</v>
      </c>
      <c r="J18" s="46"/>
      <c r="K18" s="43"/>
      <c r="L18" s="45"/>
      <c r="M18" s="45">
        <v>35178</v>
      </c>
      <c r="N18" s="46"/>
      <c r="O18" s="43"/>
      <c r="P18" s="45"/>
      <c r="Q18" s="46">
        <v>95278</v>
      </c>
      <c r="R18" s="43"/>
      <c r="S18" s="55"/>
      <c r="T18" s="55"/>
      <c r="U18" s="46"/>
    </row>
    <row r="19" spans="1:21" s="37" customFormat="1" x14ac:dyDescent="0.2">
      <c r="A19" s="39" t="s">
        <v>48</v>
      </c>
      <c r="B19" s="43"/>
      <c r="C19" s="43"/>
      <c r="D19" s="43"/>
      <c r="E19" s="43"/>
      <c r="F19" s="43"/>
      <c r="G19" s="44"/>
      <c r="H19" s="45"/>
      <c r="I19" s="58"/>
      <c r="J19" s="46"/>
      <c r="K19" s="43"/>
      <c r="L19" s="45"/>
      <c r="M19" s="45">
        <v>34440</v>
      </c>
      <c r="N19" s="46">
        <v>34440</v>
      </c>
      <c r="O19" s="43"/>
      <c r="P19" s="45"/>
      <c r="Q19" s="46"/>
      <c r="R19" s="43"/>
      <c r="S19" s="55"/>
      <c r="T19" s="55"/>
      <c r="U19" s="46"/>
    </row>
    <row r="20" spans="1:21" s="37" customFormat="1" ht="25.5" x14ac:dyDescent="0.2">
      <c r="A20" s="39" t="s">
        <v>49</v>
      </c>
      <c r="B20" s="43"/>
      <c r="C20" s="43"/>
      <c r="D20" s="43"/>
      <c r="E20" s="43"/>
      <c r="F20" s="43"/>
      <c r="G20" s="44"/>
      <c r="H20" s="45"/>
      <c r="I20" s="58"/>
      <c r="J20" s="46"/>
      <c r="K20" s="43"/>
      <c r="L20" s="45"/>
      <c r="M20" s="45"/>
      <c r="N20" s="46"/>
      <c r="O20" s="43"/>
      <c r="P20" s="45">
        <v>45465</v>
      </c>
      <c r="Q20" s="46">
        <v>45465</v>
      </c>
      <c r="R20" s="43"/>
      <c r="S20" s="55"/>
      <c r="T20" s="55"/>
      <c r="U20" s="46"/>
    </row>
    <row r="21" spans="1:21" s="37" customFormat="1" ht="38.25" x14ac:dyDescent="0.2">
      <c r="A21" s="39" t="s">
        <v>50</v>
      </c>
      <c r="B21" s="43"/>
      <c r="C21" s="43"/>
      <c r="D21" s="43"/>
      <c r="E21" s="43"/>
      <c r="F21" s="43"/>
      <c r="G21" s="44"/>
      <c r="H21" s="45"/>
      <c r="I21" s="58"/>
      <c r="J21" s="46"/>
      <c r="K21" s="43"/>
      <c r="L21" s="45"/>
      <c r="M21" s="45"/>
      <c r="N21" s="46"/>
      <c r="O21" s="43"/>
      <c r="P21" s="45">
        <v>121800</v>
      </c>
      <c r="Q21" s="46">
        <v>121800</v>
      </c>
      <c r="R21" s="43"/>
      <c r="S21" s="55"/>
      <c r="T21" s="55"/>
      <c r="U21" s="46"/>
    </row>
    <row r="22" spans="1:21" s="37" customFormat="1" ht="25.5" x14ac:dyDescent="0.2">
      <c r="A22" s="39" t="s">
        <v>51</v>
      </c>
      <c r="B22" s="43"/>
      <c r="C22" s="43"/>
      <c r="D22" s="43"/>
      <c r="E22" s="43"/>
      <c r="F22" s="43"/>
      <c r="G22" s="44"/>
      <c r="H22" s="45"/>
      <c r="I22" s="58"/>
      <c r="J22" s="46"/>
      <c r="K22" s="43"/>
      <c r="L22" s="45"/>
      <c r="M22" s="45"/>
      <c r="N22" s="46"/>
      <c r="O22" s="43"/>
      <c r="P22" s="45">
        <v>45163</v>
      </c>
      <c r="Q22" s="46">
        <v>45163</v>
      </c>
      <c r="R22" s="43"/>
      <c r="S22" s="55"/>
      <c r="T22" s="55"/>
      <c r="U22" s="46"/>
    </row>
    <row r="23" spans="1:21" s="37" customFormat="1" ht="25.5" x14ac:dyDescent="0.2">
      <c r="A23" s="39" t="s">
        <v>52</v>
      </c>
      <c r="B23" s="43"/>
      <c r="C23" s="43"/>
      <c r="D23" s="43"/>
      <c r="E23" s="43"/>
      <c r="F23" s="43"/>
      <c r="G23" s="44"/>
      <c r="H23" s="45"/>
      <c r="I23" s="58">
        <v>0</v>
      </c>
      <c r="J23" s="46"/>
      <c r="K23" s="43"/>
      <c r="L23" s="45"/>
      <c r="M23" s="45"/>
      <c r="N23" s="46"/>
      <c r="O23" s="43"/>
      <c r="P23" s="45">
        <v>14720</v>
      </c>
      <c r="Q23" s="46">
        <v>14720</v>
      </c>
      <c r="R23" s="43"/>
      <c r="S23" s="55"/>
      <c r="T23" s="55"/>
      <c r="U23" s="46"/>
    </row>
    <row r="24" spans="1:21" s="37" customFormat="1" ht="25.5" x14ac:dyDescent="0.2">
      <c r="A24" s="39" t="s">
        <v>53</v>
      </c>
      <c r="B24" s="43"/>
      <c r="C24" s="43"/>
      <c r="D24" s="43"/>
      <c r="E24" s="43"/>
      <c r="F24" s="43"/>
      <c r="G24" s="44"/>
      <c r="H24" s="45"/>
      <c r="I24" s="58"/>
      <c r="J24" s="46"/>
      <c r="K24" s="43"/>
      <c r="L24" s="45"/>
      <c r="M24" s="45"/>
      <c r="N24" s="46"/>
      <c r="O24" s="43"/>
      <c r="P24" s="45">
        <v>13293</v>
      </c>
      <c r="Q24" s="46">
        <v>13293</v>
      </c>
      <c r="R24" s="43"/>
      <c r="S24" s="55"/>
      <c r="T24" s="55"/>
      <c r="U24" s="46"/>
    </row>
    <row r="25" spans="1:21" s="37" customFormat="1" ht="25.5" x14ac:dyDescent="0.2">
      <c r="A25" s="39" t="s">
        <v>54</v>
      </c>
      <c r="B25" s="43"/>
      <c r="C25" s="43"/>
      <c r="D25" s="43"/>
      <c r="E25" s="43"/>
      <c r="F25" s="43"/>
      <c r="G25" s="44"/>
      <c r="H25" s="45"/>
      <c r="I25" s="58"/>
      <c r="J25" s="46"/>
      <c r="K25" s="43"/>
      <c r="L25" s="45"/>
      <c r="M25" s="45">
        <v>87137</v>
      </c>
      <c r="N25" s="46"/>
      <c r="O25" s="43"/>
      <c r="P25" s="45">
        <v>18000</v>
      </c>
      <c r="Q25" s="46">
        <v>105137</v>
      </c>
      <c r="R25" s="43"/>
      <c r="S25" s="55"/>
      <c r="T25" s="55"/>
      <c r="U25" s="46"/>
    </row>
    <row r="26" spans="1:21" s="37" customFormat="1" ht="25.5" x14ac:dyDescent="0.2">
      <c r="A26" s="39" t="s">
        <v>55</v>
      </c>
      <c r="B26" s="43"/>
      <c r="C26" s="43"/>
      <c r="D26" s="43"/>
      <c r="E26" s="43"/>
      <c r="F26" s="43"/>
      <c r="G26" s="44"/>
      <c r="H26" s="45"/>
      <c r="I26" s="58">
        <v>59400</v>
      </c>
      <c r="J26" s="46"/>
      <c r="K26" s="43"/>
      <c r="L26" s="45"/>
      <c r="M26" s="45">
        <v>52590</v>
      </c>
      <c r="N26" s="46"/>
      <c r="O26" s="43"/>
      <c r="P26" s="45"/>
      <c r="Q26" s="46">
        <v>111990</v>
      </c>
      <c r="R26" s="43"/>
      <c r="S26" s="55"/>
      <c r="T26" s="55"/>
      <c r="U26" s="46"/>
    </row>
    <row r="27" spans="1:21" s="37" customFormat="1" ht="25.5" x14ac:dyDescent="0.2">
      <c r="A27" s="39" t="s">
        <v>56</v>
      </c>
      <c r="B27" s="43"/>
      <c r="C27" s="43"/>
      <c r="D27" s="43"/>
      <c r="E27" s="43"/>
      <c r="F27" s="43"/>
      <c r="G27" s="44"/>
      <c r="H27" s="45"/>
      <c r="I27" s="58"/>
      <c r="J27" s="46"/>
      <c r="K27" s="43"/>
      <c r="L27" s="45"/>
      <c r="M27" s="45"/>
      <c r="N27" s="46"/>
      <c r="O27" s="43"/>
      <c r="P27" s="45">
        <v>25800</v>
      </c>
      <c r="Q27" s="46">
        <v>25800</v>
      </c>
      <c r="R27" s="43"/>
      <c r="S27" s="55"/>
      <c r="T27" s="55"/>
      <c r="U27" s="46"/>
    </row>
    <row r="28" spans="1:21" s="37" customFormat="1" x14ac:dyDescent="0.2">
      <c r="A28" s="39" t="s">
        <v>57</v>
      </c>
      <c r="B28" s="43"/>
      <c r="C28" s="43"/>
      <c r="D28" s="43"/>
      <c r="E28" s="43"/>
      <c r="F28" s="43"/>
      <c r="G28" s="44"/>
      <c r="H28" s="45"/>
      <c r="I28" s="58">
        <v>23100</v>
      </c>
      <c r="J28" s="46"/>
      <c r="K28" s="43"/>
      <c r="L28" s="45"/>
      <c r="M28" s="45">
        <v>71981</v>
      </c>
      <c r="N28" s="46"/>
      <c r="O28" s="43"/>
      <c r="P28" s="45">
        <v>4500</v>
      </c>
      <c r="Q28" s="46">
        <v>99581</v>
      </c>
      <c r="R28" s="43"/>
      <c r="S28" s="55"/>
      <c r="T28" s="55"/>
      <c r="U28" s="46"/>
    </row>
    <row r="29" spans="1:21" s="37" customFormat="1" x14ac:dyDescent="0.2">
      <c r="A29" s="39" t="s">
        <v>58</v>
      </c>
      <c r="B29" s="43"/>
      <c r="C29" s="43"/>
      <c r="D29" s="43"/>
      <c r="E29" s="43"/>
      <c r="F29" s="43"/>
      <c r="G29" s="44"/>
      <c r="H29" s="45"/>
      <c r="I29" s="58">
        <v>3930</v>
      </c>
      <c r="J29" s="46">
        <v>3930</v>
      </c>
      <c r="K29" s="43"/>
      <c r="L29" s="45"/>
      <c r="M29" s="45"/>
      <c r="N29" s="46"/>
      <c r="O29" s="43"/>
      <c r="P29" s="45"/>
      <c r="Q29" s="46"/>
      <c r="R29" s="43"/>
      <c r="S29" s="55"/>
      <c r="T29" s="55"/>
      <c r="U29" s="46"/>
    </row>
    <row r="30" spans="1:21" s="37" customFormat="1" x14ac:dyDescent="0.2">
      <c r="A30" s="39" t="s">
        <v>59</v>
      </c>
      <c r="B30" s="43"/>
      <c r="C30" s="43"/>
      <c r="D30" s="43"/>
      <c r="E30" s="43"/>
      <c r="F30" s="43"/>
      <c r="G30" s="44"/>
      <c r="H30" s="45"/>
      <c r="I30" s="58">
        <v>3273</v>
      </c>
      <c r="J30" s="46">
        <v>3273</v>
      </c>
      <c r="K30" s="43"/>
      <c r="L30" s="45"/>
      <c r="M30" s="45"/>
      <c r="N30" s="46"/>
      <c r="O30" s="43"/>
      <c r="P30" s="45"/>
      <c r="Q30" s="46"/>
      <c r="R30" s="43"/>
      <c r="S30" s="55"/>
      <c r="T30" s="55"/>
      <c r="U30" s="46"/>
    </row>
    <row r="31" spans="1:21" s="37" customFormat="1" x14ac:dyDescent="0.2">
      <c r="A31" s="39" t="s">
        <v>60</v>
      </c>
      <c r="B31" s="43"/>
      <c r="C31" s="43"/>
      <c r="D31" s="43"/>
      <c r="E31" s="43"/>
      <c r="F31" s="43"/>
      <c r="G31" s="44"/>
      <c r="H31" s="45"/>
      <c r="I31" s="58">
        <v>1667</v>
      </c>
      <c r="J31" s="46">
        <v>1667</v>
      </c>
      <c r="K31" s="43"/>
      <c r="L31" s="45"/>
      <c r="M31" s="45"/>
      <c r="N31" s="46"/>
      <c r="O31" s="43"/>
      <c r="P31" s="45"/>
      <c r="Q31" s="46"/>
      <c r="R31" s="43"/>
      <c r="S31" s="55"/>
      <c r="T31" s="55"/>
      <c r="U31" s="46"/>
    </row>
    <row r="32" spans="1:21" ht="25.5" x14ac:dyDescent="0.2">
      <c r="A32" s="16" t="s">
        <v>26</v>
      </c>
      <c r="B32" s="23"/>
      <c r="C32" s="23"/>
      <c r="D32" s="23"/>
      <c r="E32" s="23"/>
      <c r="F32" s="23"/>
      <c r="G32" s="6"/>
      <c r="H32" s="104">
        <v>807</v>
      </c>
      <c r="I32" s="59"/>
      <c r="J32" s="24"/>
      <c r="K32" s="31"/>
      <c r="L32" s="105">
        <v>130993</v>
      </c>
      <c r="M32" s="7"/>
      <c r="N32" s="32"/>
      <c r="O32" s="23"/>
      <c r="P32" s="7"/>
      <c r="Q32" s="24"/>
      <c r="R32" s="23"/>
      <c r="S32" s="56"/>
      <c r="T32" s="56"/>
      <c r="U32" s="24"/>
    </row>
    <row r="33" spans="1:21" ht="38.25" x14ac:dyDescent="0.2">
      <c r="A33" s="16" t="s">
        <v>25</v>
      </c>
      <c r="B33" s="23"/>
      <c r="C33" s="23"/>
      <c r="D33" s="23"/>
      <c r="E33" s="23"/>
      <c r="F33" s="23"/>
      <c r="G33" s="6"/>
      <c r="H33" s="104">
        <v>27298</v>
      </c>
      <c r="I33" s="59"/>
      <c r="J33" s="24"/>
      <c r="K33" s="31"/>
      <c r="L33" s="105">
        <v>29993</v>
      </c>
      <c r="M33" s="7"/>
      <c r="N33" s="32"/>
      <c r="O33" s="106">
        <v>64999</v>
      </c>
      <c r="P33" s="7"/>
      <c r="Q33" s="24"/>
      <c r="R33" s="106">
        <v>3710</v>
      </c>
      <c r="S33" s="56"/>
      <c r="T33" s="56"/>
      <c r="U33" s="24"/>
    </row>
    <row r="34" spans="1:21" s="8" customFormat="1" x14ac:dyDescent="0.2">
      <c r="A34" s="17" t="s">
        <v>31</v>
      </c>
      <c r="B34" s="25">
        <f t="shared" ref="B34:R34" si="0">SUM(B3:B33)</f>
        <v>0</v>
      </c>
      <c r="C34" s="25">
        <f t="shared" si="0"/>
        <v>0</v>
      </c>
      <c r="D34" s="25">
        <f t="shared" si="0"/>
        <v>143427.81</v>
      </c>
      <c r="E34" s="25">
        <f t="shared" si="0"/>
        <v>206844.18</v>
      </c>
      <c r="F34" s="25">
        <f t="shared" si="0"/>
        <v>0</v>
      </c>
      <c r="G34" s="1">
        <f t="shared" si="0"/>
        <v>0</v>
      </c>
      <c r="H34" s="1">
        <f t="shared" si="0"/>
        <v>28105</v>
      </c>
      <c r="I34" s="60">
        <f t="shared" si="0"/>
        <v>430968.47000000003</v>
      </c>
      <c r="J34" s="63">
        <f t="shared" si="0"/>
        <v>343121.25</v>
      </c>
      <c r="K34" s="25">
        <f t="shared" si="0"/>
        <v>0</v>
      </c>
      <c r="L34" s="1">
        <f t="shared" si="0"/>
        <v>160986</v>
      </c>
      <c r="M34" s="1">
        <f t="shared" si="0"/>
        <v>334941</v>
      </c>
      <c r="N34" s="26">
        <f t="shared" si="0"/>
        <v>242610</v>
      </c>
      <c r="O34" s="25">
        <f t="shared" si="0"/>
        <v>64999</v>
      </c>
      <c r="P34" s="25">
        <f t="shared" si="0"/>
        <v>477011</v>
      </c>
      <c r="Q34" s="26">
        <f t="shared" si="0"/>
        <v>782497</v>
      </c>
      <c r="R34" s="25">
        <f t="shared" si="0"/>
        <v>3710</v>
      </c>
      <c r="S34" s="25"/>
      <c r="T34" s="25">
        <f>SUM(T3:T33)</f>
        <v>0</v>
      </c>
      <c r="U34" s="26">
        <f>SUM(U3:U33)</f>
        <v>125615</v>
      </c>
    </row>
    <row r="35" spans="1:21" s="37" customFormat="1" ht="25.5" x14ac:dyDescent="0.2">
      <c r="A35" s="38" t="s">
        <v>101</v>
      </c>
      <c r="B35" s="43"/>
      <c r="C35" s="43"/>
      <c r="D35" s="43">
        <v>9288.98</v>
      </c>
      <c r="E35" s="43">
        <v>0</v>
      </c>
      <c r="F35" s="43"/>
      <c r="G35" s="44"/>
      <c r="H35" s="45"/>
      <c r="I35" s="58">
        <v>247.28</v>
      </c>
      <c r="J35" s="97">
        <v>8965</v>
      </c>
      <c r="K35" s="43"/>
      <c r="L35" s="45"/>
      <c r="M35" s="45"/>
      <c r="N35" s="46"/>
      <c r="O35" s="43"/>
      <c r="P35" s="55"/>
      <c r="Q35" s="46"/>
      <c r="R35" s="43"/>
      <c r="S35" s="55"/>
      <c r="T35" s="55"/>
      <c r="U35" s="46"/>
    </row>
    <row r="36" spans="1:21" s="37" customFormat="1" x14ac:dyDescent="0.2">
      <c r="A36" s="39" t="s">
        <v>61</v>
      </c>
      <c r="B36" s="43"/>
      <c r="C36" s="43"/>
      <c r="D36" s="43">
        <v>3466.25</v>
      </c>
      <c r="E36" s="43"/>
      <c r="F36" s="43"/>
      <c r="G36" s="44"/>
      <c r="H36" s="45"/>
      <c r="I36" s="58">
        <f>6095+56.28</f>
        <v>6151.28</v>
      </c>
      <c r="J36" s="46">
        <v>19892.599999999999</v>
      </c>
      <c r="K36" s="43"/>
      <c r="L36" s="45"/>
      <c r="M36" s="45"/>
      <c r="N36" s="46"/>
      <c r="O36" s="43"/>
      <c r="P36" s="55"/>
      <c r="Q36" s="46"/>
      <c r="R36" s="43"/>
      <c r="S36" s="55"/>
      <c r="T36" s="55"/>
      <c r="U36" s="46"/>
    </row>
    <row r="37" spans="1:21" s="37" customFormat="1" x14ac:dyDescent="0.2">
      <c r="A37" s="39" t="s">
        <v>62</v>
      </c>
      <c r="B37" s="43"/>
      <c r="C37" s="43"/>
      <c r="D37" s="43">
        <v>8810.76</v>
      </c>
      <c r="E37" s="43">
        <v>289.41000000000003</v>
      </c>
      <c r="F37" s="43"/>
      <c r="G37" s="44"/>
      <c r="H37" s="45"/>
      <c r="I37" s="58"/>
      <c r="J37" s="46">
        <v>23274.1</v>
      </c>
      <c r="K37" s="43"/>
      <c r="L37" s="45"/>
      <c r="M37" s="45"/>
      <c r="N37" s="46"/>
      <c r="O37" s="43"/>
      <c r="P37" s="55"/>
      <c r="Q37" s="46"/>
      <c r="R37" s="43"/>
      <c r="S37" s="55"/>
      <c r="T37" s="55"/>
      <c r="U37" s="46"/>
    </row>
    <row r="38" spans="1:21" s="37" customFormat="1" x14ac:dyDescent="0.2">
      <c r="A38" s="39" t="s">
        <v>63</v>
      </c>
      <c r="B38" s="43"/>
      <c r="C38" s="43"/>
      <c r="D38" s="43"/>
      <c r="E38" s="43">
        <v>21763.89</v>
      </c>
      <c r="F38" s="43"/>
      <c r="G38" s="44"/>
      <c r="H38" s="45"/>
      <c r="I38" s="58"/>
      <c r="J38" s="46"/>
      <c r="K38" s="43"/>
      <c r="L38" s="45"/>
      <c r="M38" s="45"/>
      <c r="N38" s="46"/>
      <c r="O38" s="43"/>
      <c r="P38" s="55"/>
      <c r="Q38" s="46"/>
      <c r="R38" s="43"/>
      <c r="S38" s="55"/>
      <c r="T38" s="55"/>
      <c r="U38" s="46"/>
    </row>
    <row r="39" spans="1:21" s="37" customFormat="1" ht="25.5" x14ac:dyDescent="0.2">
      <c r="A39" s="39" t="s">
        <v>64</v>
      </c>
      <c r="B39" s="43"/>
      <c r="C39" s="43"/>
      <c r="D39" s="43">
        <v>22429.23</v>
      </c>
      <c r="E39" s="43">
        <v>76086.210000000006</v>
      </c>
      <c r="F39" s="43"/>
      <c r="G39" s="44"/>
      <c r="H39" s="45"/>
      <c r="I39" s="58"/>
      <c r="J39" s="46"/>
      <c r="K39" s="43"/>
      <c r="L39" s="45"/>
      <c r="M39" s="45"/>
      <c r="N39" s="46"/>
      <c r="O39" s="43"/>
      <c r="P39" s="55"/>
      <c r="Q39" s="46"/>
      <c r="R39" s="43"/>
      <c r="S39" s="55"/>
      <c r="T39" s="55"/>
      <c r="U39" s="46"/>
    </row>
    <row r="40" spans="1:21" s="37" customFormat="1" x14ac:dyDescent="0.2">
      <c r="A40" s="39" t="s">
        <v>65</v>
      </c>
      <c r="B40" s="43"/>
      <c r="C40" s="43"/>
      <c r="D40" s="43">
        <v>64478.93</v>
      </c>
      <c r="E40" s="43"/>
      <c r="F40" s="43"/>
      <c r="G40" s="44"/>
      <c r="H40" s="45"/>
      <c r="I40" s="58">
        <f>15683+2177.01</f>
        <v>17860.010000000002</v>
      </c>
      <c r="J40" s="46">
        <v>100144</v>
      </c>
      <c r="K40" s="43"/>
      <c r="L40" s="45"/>
      <c r="M40" s="45"/>
      <c r="N40" s="46"/>
      <c r="O40" s="43"/>
      <c r="P40" s="55"/>
      <c r="Q40" s="46"/>
      <c r="R40" s="43"/>
      <c r="S40" s="55"/>
      <c r="T40" s="55"/>
      <c r="U40" s="46"/>
    </row>
    <row r="41" spans="1:21" s="37" customFormat="1" x14ac:dyDescent="0.2">
      <c r="A41" s="39" t="s">
        <v>66</v>
      </c>
      <c r="B41" s="43"/>
      <c r="C41" s="43"/>
      <c r="D41" s="43"/>
      <c r="E41" s="43"/>
      <c r="F41" s="43"/>
      <c r="G41" s="44"/>
      <c r="H41" s="45"/>
      <c r="I41" s="58"/>
      <c r="J41" s="46"/>
      <c r="K41" s="43"/>
      <c r="L41" s="45"/>
      <c r="M41" s="45"/>
      <c r="N41" s="46"/>
      <c r="O41" s="43"/>
      <c r="P41" s="55"/>
      <c r="Q41" s="46"/>
      <c r="R41" s="43"/>
      <c r="S41" s="55"/>
      <c r="T41" s="55"/>
      <c r="U41" s="46"/>
    </row>
    <row r="42" spans="1:21" s="37" customFormat="1" x14ac:dyDescent="0.2">
      <c r="A42" s="39" t="s">
        <v>67</v>
      </c>
      <c r="B42" s="43"/>
      <c r="C42" s="43"/>
      <c r="D42" s="43"/>
      <c r="E42" s="43"/>
      <c r="F42" s="43"/>
      <c r="G42" s="44"/>
      <c r="H42" s="45"/>
      <c r="I42" s="58"/>
      <c r="J42" s="46"/>
      <c r="K42" s="43"/>
      <c r="L42" s="45"/>
      <c r="M42" s="45">
        <v>16540</v>
      </c>
      <c r="N42" s="46">
        <v>16540</v>
      </c>
      <c r="O42" s="43"/>
      <c r="P42" s="55"/>
      <c r="Q42" s="46"/>
      <c r="R42" s="43"/>
      <c r="S42" s="55"/>
      <c r="T42" s="55"/>
      <c r="U42" s="46"/>
    </row>
    <row r="43" spans="1:21" s="37" customFormat="1" ht="25.5" x14ac:dyDescent="0.2">
      <c r="A43" s="39" t="s">
        <v>68</v>
      </c>
      <c r="B43" s="43"/>
      <c r="C43" s="43"/>
      <c r="D43" s="43">
        <v>1576.58</v>
      </c>
      <c r="E43" s="43"/>
      <c r="F43" s="43"/>
      <c r="G43" s="44"/>
      <c r="H43" s="45"/>
      <c r="I43" s="58">
        <f>23400+1894.3</f>
        <v>25294.3</v>
      </c>
      <c r="J43" s="46"/>
      <c r="K43" s="43"/>
      <c r="L43" s="45"/>
      <c r="M43" s="45">
        <v>9848.58</v>
      </c>
      <c r="N43" s="46">
        <v>36719.47</v>
      </c>
      <c r="O43" s="43"/>
      <c r="P43" s="55"/>
      <c r="Q43" s="46"/>
      <c r="R43" s="43"/>
      <c r="S43" s="55"/>
      <c r="T43" s="55"/>
      <c r="U43" s="46"/>
    </row>
    <row r="44" spans="1:21" x14ac:dyDescent="0.2">
      <c r="A44" s="16" t="s">
        <v>5</v>
      </c>
      <c r="B44" s="27"/>
      <c r="C44" s="27"/>
      <c r="D44" s="27"/>
      <c r="E44" s="27"/>
      <c r="F44" s="27">
        <v>37193.040000000001</v>
      </c>
      <c r="G44" s="11"/>
      <c r="H44" s="11">
        <v>17174</v>
      </c>
      <c r="I44" s="61"/>
      <c r="J44" s="28"/>
      <c r="K44" s="47"/>
      <c r="L44" s="12">
        <v>50000</v>
      </c>
      <c r="M44" s="12"/>
      <c r="N44" s="33"/>
      <c r="O44" s="36">
        <v>50000</v>
      </c>
      <c r="P44" s="65"/>
      <c r="Q44" s="33"/>
      <c r="R44" s="43">
        <v>382334</v>
      </c>
      <c r="S44" s="55"/>
      <c r="T44" s="55"/>
      <c r="U44" s="46"/>
    </row>
    <row r="45" spans="1:21" x14ac:dyDescent="0.2">
      <c r="A45" s="16" t="s">
        <v>2</v>
      </c>
      <c r="B45" s="23"/>
      <c r="C45" s="23"/>
      <c r="D45" s="23"/>
      <c r="E45" s="23"/>
      <c r="F45" s="23">
        <v>71.91</v>
      </c>
      <c r="G45" s="6"/>
      <c r="H45" s="6">
        <v>2760</v>
      </c>
      <c r="I45" s="59"/>
      <c r="J45" s="24"/>
      <c r="K45" s="47"/>
      <c r="L45" s="9">
        <v>9940</v>
      </c>
      <c r="M45" s="9"/>
      <c r="N45" s="34"/>
      <c r="O45" s="23">
        <v>60448</v>
      </c>
      <c r="P45" s="56"/>
      <c r="Q45" s="24"/>
      <c r="R45" s="23">
        <v>220000</v>
      </c>
      <c r="S45" s="56"/>
      <c r="T45" s="56"/>
      <c r="U45" s="24"/>
    </row>
    <row r="46" spans="1:21" x14ac:dyDescent="0.2">
      <c r="A46" s="16" t="s">
        <v>3</v>
      </c>
      <c r="B46" s="23"/>
      <c r="C46" s="23"/>
      <c r="D46" s="23"/>
      <c r="E46" s="23"/>
      <c r="F46" s="23"/>
      <c r="G46" s="6"/>
      <c r="H46" s="104">
        <v>22000</v>
      </c>
      <c r="I46" s="59"/>
      <c r="J46" s="24"/>
      <c r="K46" s="47"/>
      <c r="L46" s="105">
        <v>13215</v>
      </c>
      <c r="M46" s="7"/>
      <c r="N46" s="32"/>
      <c r="O46" s="23"/>
      <c r="P46" s="56"/>
      <c r="Q46" s="24"/>
      <c r="R46" s="23"/>
      <c r="S46" s="56"/>
      <c r="T46" s="56"/>
      <c r="U46" s="24"/>
    </row>
    <row r="47" spans="1:21" x14ac:dyDescent="0.2">
      <c r="A47" s="16" t="s">
        <v>1</v>
      </c>
      <c r="B47" s="23"/>
      <c r="C47" s="23"/>
      <c r="D47" s="23"/>
      <c r="E47" s="23"/>
      <c r="F47" s="23"/>
      <c r="G47" s="6"/>
      <c r="H47" s="6"/>
      <c r="I47" s="59"/>
      <c r="J47" s="24"/>
      <c r="K47" s="35"/>
      <c r="L47" s="7"/>
      <c r="M47" s="7"/>
      <c r="N47" s="32"/>
      <c r="O47" s="23">
        <v>30000</v>
      </c>
      <c r="P47" s="56"/>
      <c r="Q47" s="24"/>
      <c r="R47" s="23">
        <v>65000</v>
      </c>
      <c r="S47" s="56"/>
      <c r="T47" s="56"/>
      <c r="U47" s="24"/>
    </row>
    <row r="48" spans="1:21" x14ac:dyDescent="0.2">
      <c r="A48" s="16" t="s">
        <v>4</v>
      </c>
      <c r="B48" s="23"/>
      <c r="C48" s="23"/>
      <c r="D48" s="23"/>
      <c r="E48" s="23"/>
      <c r="F48" s="23"/>
      <c r="G48" s="6"/>
      <c r="H48" s="104">
        <v>25000</v>
      </c>
      <c r="I48" s="59"/>
      <c r="J48" s="24"/>
      <c r="K48" s="47"/>
      <c r="L48" s="105">
        <v>70000</v>
      </c>
      <c r="M48" s="7"/>
      <c r="N48" s="32"/>
      <c r="O48" s="23"/>
      <c r="P48" s="56"/>
      <c r="Q48" s="24"/>
      <c r="R48" s="23"/>
      <c r="S48" s="56"/>
      <c r="T48" s="56"/>
      <c r="U48" s="24"/>
    </row>
    <row r="49" spans="1:21" s="8" customFormat="1" x14ac:dyDescent="0.2">
      <c r="A49" s="17" t="s">
        <v>27</v>
      </c>
      <c r="B49" s="25">
        <f t="shared" ref="B49:R49" si="1">SUM(B35:B48)</f>
        <v>0</v>
      </c>
      <c r="C49" s="25">
        <f t="shared" si="1"/>
        <v>0</v>
      </c>
      <c r="D49" s="25">
        <f t="shared" si="1"/>
        <v>110050.73</v>
      </c>
      <c r="E49" s="25">
        <f t="shared" si="1"/>
        <v>98139.510000000009</v>
      </c>
      <c r="F49" s="25">
        <f t="shared" si="1"/>
        <v>37264.950000000004</v>
      </c>
      <c r="G49" s="1">
        <f t="shared" si="1"/>
        <v>0</v>
      </c>
      <c r="H49" s="1">
        <f t="shared" si="1"/>
        <v>66934</v>
      </c>
      <c r="I49" s="60">
        <f t="shared" si="1"/>
        <v>49552.869999999995</v>
      </c>
      <c r="J49" s="63">
        <f t="shared" si="1"/>
        <v>152275.70000000001</v>
      </c>
      <c r="K49" s="25">
        <f t="shared" si="1"/>
        <v>0</v>
      </c>
      <c r="L49" s="1">
        <f t="shared" si="1"/>
        <v>143155</v>
      </c>
      <c r="M49" s="1">
        <f t="shared" si="1"/>
        <v>26388.58</v>
      </c>
      <c r="N49" s="26">
        <f t="shared" si="1"/>
        <v>53259.47</v>
      </c>
      <c r="O49" s="25">
        <f t="shared" si="1"/>
        <v>140448</v>
      </c>
      <c r="P49" s="15">
        <f t="shared" si="1"/>
        <v>0</v>
      </c>
      <c r="Q49" s="26">
        <f t="shared" si="1"/>
        <v>0</v>
      </c>
      <c r="R49" s="25">
        <f t="shared" si="1"/>
        <v>667334</v>
      </c>
      <c r="S49" s="15"/>
      <c r="T49" s="15">
        <f>SUM(T35:T48)</f>
        <v>0</v>
      </c>
      <c r="U49" s="26">
        <f>SUM(U35:U48)</f>
        <v>0</v>
      </c>
    </row>
    <row r="50" spans="1:21" s="37" customFormat="1" ht="25.5" x14ac:dyDescent="0.2">
      <c r="A50" s="40" t="s">
        <v>69</v>
      </c>
      <c r="B50" s="43"/>
      <c r="C50" s="43"/>
      <c r="D50" s="43">
        <v>12148.69</v>
      </c>
      <c r="E50" s="43"/>
      <c r="F50" s="43"/>
      <c r="G50" s="44"/>
      <c r="H50" s="45"/>
      <c r="I50" s="58">
        <f>10049+2355.75</f>
        <v>12404.75</v>
      </c>
      <c r="J50" s="46"/>
      <c r="K50" s="43"/>
      <c r="L50" s="45"/>
      <c r="M50" s="45"/>
      <c r="N50" s="46">
        <v>24553.439999999999</v>
      </c>
      <c r="O50" s="43"/>
      <c r="P50" s="55"/>
      <c r="Q50" s="46"/>
      <c r="R50" s="43"/>
      <c r="S50" s="55"/>
      <c r="T50" s="55"/>
      <c r="U50" s="46"/>
    </row>
    <row r="51" spans="1:21" s="37" customFormat="1" x14ac:dyDescent="0.2">
      <c r="A51" s="40" t="s">
        <v>70</v>
      </c>
      <c r="B51" s="43"/>
      <c r="C51" s="43"/>
      <c r="D51" s="43">
        <v>5289.39</v>
      </c>
      <c r="E51" s="43"/>
      <c r="F51" s="43"/>
      <c r="G51" s="44"/>
      <c r="H51" s="45"/>
      <c r="I51" s="58">
        <f>6604+1011.92</f>
        <v>7615.92</v>
      </c>
      <c r="J51" s="46"/>
      <c r="K51" s="43"/>
      <c r="L51" s="45"/>
      <c r="M51" s="45"/>
      <c r="N51" s="46">
        <v>12905.31</v>
      </c>
      <c r="O51" s="43"/>
      <c r="P51" s="55"/>
      <c r="Q51" s="46"/>
      <c r="R51" s="43"/>
      <c r="S51" s="55"/>
      <c r="T51" s="55"/>
      <c r="U51" s="46"/>
    </row>
    <row r="52" spans="1:21" s="37" customFormat="1" ht="25.5" x14ac:dyDescent="0.2">
      <c r="A52" s="40" t="s">
        <v>71</v>
      </c>
      <c r="B52" s="43"/>
      <c r="C52" s="43"/>
      <c r="D52" s="43">
        <v>9693.66</v>
      </c>
      <c r="E52" s="43"/>
      <c r="F52" s="43"/>
      <c r="G52" s="44"/>
      <c r="H52" s="45"/>
      <c r="I52" s="58">
        <f>9172+2111.11</f>
        <v>11283.11</v>
      </c>
      <c r="J52" s="46"/>
      <c r="K52" s="43"/>
      <c r="L52" s="45"/>
      <c r="M52" s="45"/>
      <c r="N52" s="46">
        <v>20976.77</v>
      </c>
      <c r="O52" s="43"/>
      <c r="P52" s="55"/>
      <c r="Q52" s="46"/>
      <c r="R52" s="43"/>
      <c r="S52" s="55"/>
      <c r="T52" s="55"/>
      <c r="U52" s="46"/>
    </row>
    <row r="53" spans="1:21" s="37" customFormat="1" ht="25.5" x14ac:dyDescent="0.2">
      <c r="A53" s="40" t="s">
        <v>72</v>
      </c>
      <c r="B53" s="43"/>
      <c r="C53" s="43"/>
      <c r="D53" s="43"/>
      <c r="E53" s="43"/>
      <c r="F53" s="43"/>
      <c r="G53" s="44"/>
      <c r="H53" s="45"/>
      <c r="I53" s="58">
        <v>17386</v>
      </c>
      <c r="J53" s="46"/>
      <c r="K53" s="43"/>
      <c r="L53" s="45"/>
      <c r="M53" s="45">
        <v>14103</v>
      </c>
      <c r="N53" s="46"/>
      <c r="O53" s="43"/>
      <c r="P53" s="55"/>
      <c r="Q53" s="46">
        <v>31489</v>
      </c>
      <c r="R53" s="43"/>
      <c r="S53" s="55"/>
      <c r="T53" s="55"/>
      <c r="U53" s="46"/>
    </row>
    <row r="54" spans="1:21" s="37" customFormat="1" x14ac:dyDescent="0.2">
      <c r="A54" s="40" t="s">
        <v>73</v>
      </c>
      <c r="B54" s="43"/>
      <c r="C54" s="43"/>
      <c r="D54" s="43"/>
      <c r="E54" s="43"/>
      <c r="F54" s="43"/>
      <c r="G54" s="44"/>
      <c r="H54" s="45">
        <v>74216</v>
      </c>
      <c r="I54" s="58">
        <v>26568</v>
      </c>
      <c r="J54" s="46"/>
      <c r="K54" s="43"/>
      <c r="L54" s="89">
        <v>41359</v>
      </c>
      <c r="M54" s="95">
        <v>21641</v>
      </c>
      <c r="N54" s="46"/>
      <c r="O54" s="98">
        <v>61637</v>
      </c>
      <c r="P54" s="99">
        <v>0</v>
      </c>
      <c r="Q54" s="46">
        <v>48209</v>
      </c>
      <c r="R54" s="43"/>
      <c r="S54" s="55"/>
      <c r="T54" s="55"/>
      <c r="U54" s="46"/>
    </row>
    <row r="55" spans="1:21" s="37" customFormat="1" ht="25.5" x14ac:dyDescent="0.2">
      <c r="A55" s="40" t="s">
        <v>74</v>
      </c>
      <c r="B55" s="43"/>
      <c r="C55" s="43"/>
      <c r="D55" s="43"/>
      <c r="E55" s="43"/>
      <c r="F55" s="43"/>
      <c r="G55" s="44"/>
      <c r="H55" s="45">
        <v>35734</v>
      </c>
      <c r="I55" s="58">
        <v>4016</v>
      </c>
      <c r="J55" s="46"/>
      <c r="K55" s="43"/>
      <c r="L55" s="45">
        <v>25770</v>
      </c>
      <c r="M55" s="45"/>
      <c r="N55" s="97">
        <v>0</v>
      </c>
      <c r="O55" s="43"/>
      <c r="P55" s="55"/>
      <c r="Q55" s="97">
        <v>4016</v>
      </c>
      <c r="R55" s="43"/>
      <c r="S55" s="55"/>
      <c r="T55" s="55"/>
      <c r="U55" s="46"/>
    </row>
    <row r="56" spans="1:21" s="37" customFormat="1" ht="15" x14ac:dyDescent="0.25">
      <c r="A56" s="40" t="s">
        <v>75</v>
      </c>
      <c r="B56" s="43"/>
      <c r="C56" s="43"/>
      <c r="D56" s="43"/>
      <c r="E56" s="43"/>
      <c r="F56" s="43"/>
      <c r="G56" s="44"/>
      <c r="H56" s="45"/>
      <c r="I56" s="58">
        <v>13340</v>
      </c>
      <c r="J56" s="46"/>
      <c r="K56" s="43"/>
      <c r="L56" s="45"/>
      <c r="M56" s="103">
        <v>6767</v>
      </c>
      <c r="N56" s="46"/>
      <c r="O56" s="43"/>
      <c r="P56" s="55"/>
      <c r="Q56" s="46">
        <v>20107</v>
      </c>
      <c r="R56" s="43"/>
      <c r="S56" s="55"/>
      <c r="T56" s="55"/>
      <c r="U56" s="46"/>
    </row>
    <row r="57" spans="1:21" s="37" customFormat="1" x14ac:dyDescent="0.2">
      <c r="A57" s="40" t="s">
        <v>76</v>
      </c>
      <c r="B57" s="43"/>
      <c r="C57" s="43"/>
      <c r="D57" s="43"/>
      <c r="E57" s="43"/>
      <c r="F57" s="43"/>
      <c r="G57" s="44"/>
      <c r="H57" s="45"/>
      <c r="I57" s="58"/>
      <c r="J57" s="46"/>
      <c r="K57" s="43"/>
      <c r="L57" s="45"/>
      <c r="M57" s="9">
        <v>1750</v>
      </c>
      <c r="N57" s="46"/>
      <c r="O57" s="43"/>
      <c r="P57" s="55">
        <v>1750</v>
      </c>
      <c r="Q57" s="46">
        <v>3500</v>
      </c>
      <c r="R57" s="43"/>
      <c r="S57" s="55"/>
      <c r="T57" s="55"/>
      <c r="U57" s="46"/>
    </row>
    <row r="58" spans="1:21" ht="25.5" x14ac:dyDescent="0.2">
      <c r="A58" s="87" t="s">
        <v>23</v>
      </c>
      <c r="B58" s="23"/>
      <c r="C58" s="23"/>
      <c r="D58" s="23"/>
      <c r="E58" s="23"/>
      <c r="F58" s="23">
        <v>38.97</v>
      </c>
      <c r="G58" s="6"/>
      <c r="H58" s="91">
        <v>28230</v>
      </c>
      <c r="I58" s="92">
        <v>52500</v>
      </c>
      <c r="J58" s="93">
        <v>0</v>
      </c>
      <c r="K58" s="47"/>
      <c r="L58" s="91">
        <v>187500</v>
      </c>
      <c r="M58" s="94">
        <v>12500</v>
      </c>
      <c r="N58" s="93">
        <v>65000</v>
      </c>
      <c r="O58" s="106">
        <v>90531</v>
      </c>
      <c r="P58" s="56"/>
      <c r="Q58" s="24"/>
      <c r="R58" s="23"/>
      <c r="S58" s="56"/>
      <c r="T58" s="56"/>
      <c r="U58" s="24"/>
    </row>
    <row r="59" spans="1:21" x14ac:dyDescent="0.2">
      <c r="A59" s="18" t="s">
        <v>151</v>
      </c>
      <c r="B59" s="23"/>
      <c r="C59" s="23"/>
      <c r="D59" s="23"/>
      <c r="E59" s="23"/>
      <c r="F59" s="23"/>
      <c r="G59" s="6"/>
      <c r="H59" s="6">
        <v>10000</v>
      </c>
      <c r="I59" s="59"/>
      <c r="J59" s="24"/>
      <c r="K59" s="47"/>
      <c r="L59" s="6"/>
      <c r="M59" s="62"/>
      <c r="N59" s="24"/>
      <c r="O59" s="23"/>
      <c r="P59" s="56"/>
      <c r="Q59" s="24"/>
      <c r="R59" s="23"/>
      <c r="S59" s="56"/>
      <c r="T59" s="56"/>
      <c r="U59" s="24"/>
    </row>
    <row r="60" spans="1:21" x14ac:dyDescent="0.2">
      <c r="A60" s="18" t="s">
        <v>24</v>
      </c>
      <c r="B60" s="23"/>
      <c r="C60" s="23"/>
      <c r="D60" s="23"/>
      <c r="E60" s="23"/>
      <c r="F60" s="23"/>
      <c r="G60" s="6"/>
      <c r="H60" s="6">
        <v>30452</v>
      </c>
      <c r="I60" s="59"/>
      <c r="J60" s="24"/>
      <c r="K60" s="47"/>
      <c r="L60" s="6">
        <v>62206</v>
      </c>
      <c r="M60" s="58">
        <v>37794</v>
      </c>
      <c r="N60" s="46">
        <v>37794</v>
      </c>
      <c r="O60" s="23">
        <v>25698</v>
      </c>
      <c r="P60" s="56"/>
      <c r="Q60" s="24"/>
      <c r="R60" s="23"/>
      <c r="S60" s="56"/>
      <c r="T60" s="56"/>
      <c r="U60" s="24"/>
    </row>
    <row r="61" spans="1:21" ht="25.5" x14ac:dyDescent="0.2">
      <c r="A61" s="18" t="s">
        <v>160</v>
      </c>
      <c r="B61" s="23"/>
      <c r="C61" s="23"/>
      <c r="D61" s="23"/>
      <c r="E61" s="23"/>
      <c r="F61" s="23"/>
      <c r="G61" s="6"/>
      <c r="H61" s="6">
        <v>7800</v>
      </c>
      <c r="I61" s="59"/>
      <c r="J61" s="24"/>
      <c r="K61" s="47"/>
      <c r="L61" s="6">
        <v>5700</v>
      </c>
      <c r="M61" s="7"/>
      <c r="N61" s="24"/>
      <c r="O61" s="23"/>
      <c r="P61" s="56"/>
      <c r="Q61" s="24"/>
      <c r="R61" s="23"/>
      <c r="S61" s="56"/>
      <c r="T61" s="56"/>
      <c r="U61" s="24"/>
    </row>
    <row r="62" spans="1:21" s="8" customFormat="1" x14ac:dyDescent="0.2">
      <c r="A62" s="17" t="s">
        <v>30</v>
      </c>
      <c r="B62" s="25">
        <f t="shared" ref="B62:U62" si="2">SUM(B50:B61)</f>
        <v>0</v>
      </c>
      <c r="C62" s="25">
        <f t="shared" si="2"/>
        <v>0</v>
      </c>
      <c r="D62" s="25">
        <f t="shared" si="2"/>
        <v>27131.74</v>
      </c>
      <c r="E62" s="25">
        <f t="shared" si="2"/>
        <v>0</v>
      </c>
      <c r="F62" s="25">
        <f t="shared" si="2"/>
        <v>38.97</v>
      </c>
      <c r="G62" s="25">
        <f t="shared" si="2"/>
        <v>0</v>
      </c>
      <c r="H62" s="25">
        <f t="shared" si="2"/>
        <v>186432</v>
      </c>
      <c r="I62" s="25">
        <f t="shared" si="2"/>
        <v>145113.78</v>
      </c>
      <c r="J62" s="25">
        <f t="shared" si="2"/>
        <v>0</v>
      </c>
      <c r="K62" s="25">
        <f t="shared" si="2"/>
        <v>0</v>
      </c>
      <c r="L62" s="25">
        <f t="shared" si="2"/>
        <v>322535</v>
      </c>
      <c r="M62" s="25">
        <f t="shared" si="2"/>
        <v>94555</v>
      </c>
      <c r="N62" s="25">
        <f t="shared" si="2"/>
        <v>161229.52000000002</v>
      </c>
      <c r="O62" s="25">
        <f t="shared" si="2"/>
        <v>177866</v>
      </c>
      <c r="P62" s="25">
        <f t="shared" si="2"/>
        <v>1750</v>
      </c>
      <c r="Q62" s="25">
        <f t="shared" si="2"/>
        <v>107321</v>
      </c>
      <c r="R62" s="25">
        <f t="shared" si="2"/>
        <v>0</v>
      </c>
      <c r="S62" s="25">
        <f t="shared" si="2"/>
        <v>0</v>
      </c>
      <c r="T62" s="25">
        <f t="shared" si="2"/>
        <v>0</v>
      </c>
      <c r="U62" s="25">
        <f t="shared" si="2"/>
        <v>0</v>
      </c>
    </row>
    <row r="63" spans="1:21" s="37" customFormat="1" x14ac:dyDescent="0.2">
      <c r="A63" s="38" t="s">
        <v>102</v>
      </c>
      <c r="B63" s="43"/>
      <c r="C63" s="43"/>
      <c r="D63" s="43"/>
      <c r="E63" s="43"/>
      <c r="F63" s="43"/>
      <c r="G63" s="44"/>
      <c r="H63" s="45"/>
      <c r="I63" s="58"/>
      <c r="J63" s="46"/>
      <c r="K63" s="43"/>
      <c r="L63" s="45"/>
      <c r="M63" s="58">
        <v>6000</v>
      </c>
      <c r="N63" s="46"/>
      <c r="O63" s="43"/>
      <c r="P63" s="55">
        <v>14200</v>
      </c>
      <c r="Q63" s="46">
        <v>20200</v>
      </c>
      <c r="R63" s="43"/>
      <c r="S63" s="55"/>
      <c r="T63" s="55"/>
      <c r="U63" s="46"/>
    </row>
    <row r="64" spans="1:21" s="37" customFormat="1" x14ac:dyDescent="0.2">
      <c r="A64" s="38" t="s">
        <v>103</v>
      </c>
      <c r="B64" s="43"/>
      <c r="C64" s="43"/>
      <c r="D64" s="43">
        <v>1730.77</v>
      </c>
      <c r="E64" s="43"/>
      <c r="F64" s="43"/>
      <c r="G64" s="44"/>
      <c r="H64" s="45"/>
      <c r="I64" s="58">
        <f>4250+509.3</f>
        <v>4759.3</v>
      </c>
      <c r="J64" s="46">
        <v>6490</v>
      </c>
      <c r="K64" s="43"/>
      <c r="L64" s="45"/>
      <c r="M64" s="58"/>
      <c r="N64" s="46"/>
      <c r="O64" s="43"/>
      <c r="P64" s="55"/>
      <c r="Q64" s="46"/>
      <c r="R64" s="43"/>
      <c r="S64" s="55"/>
      <c r="T64" s="55"/>
      <c r="U64" s="46"/>
    </row>
    <row r="65" spans="1:21" s="37" customFormat="1" x14ac:dyDescent="0.2">
      <c r="A65" s="38" t="s">
        <v>104</v>
      </c>
      <c r="B65" s="43"/>
      <c r="C65" s="43"/>
      <c r="D65" s="43">
        <v>2331.21</v>
      </c>
      <c r="E65" s="43"/>
      <c r="F65" s="43"/>
      <c r="G65" s="44"/>
      <c r="H65" s="45"/>
      <c r="I65" s="58">
        <f>15750+9418.78</f>
        <v>25168.78</v>
      </c>
      <c r="J65" s="46">
        <v>27500</v>
      </c>
      <c r="K65" s="43"/>
      <c r="L65" s="45"/>
      <c r="M65" s="58"/>
      <c r="N65" s="46"/>
      <c r="O65" s="43"/>
      <c r="P65" s="55"/>
      <c r="Q65" s="46"/>
      <c r="R65" s="43"/>
      <c r="S65" s="55"/>
      <c r="T65" s="55"/>
      <c r="U65" s="46"/>
    </row>
    <row r="66" spans="1:21" s="37" customFormat="1" x14ac:dyDescent="0.2">
      <c r="A66" s="38" t="s">
        <v>105</v>
      </c>
      <c r="B66" s="43"/>
      <c r="C66" s="43"/>
      <c r="D66" s="43">
        <v>3264.72</v>
      </c>
      <c r="E66" s="43"/>
      <c r="F66" s="43"/>
      <c r="G66" s="44"/>
      <c r="H66" s="45"/>
      <c r="I66" s="58">
        <f>2169+2175.17</f>
        <v>4344.17</v>
      </c>
      <c r="J66" s="46">
        <v>7500</v>
      </c>
      <c r="K66" s="43"/>
      <c r="L66" s="45"/>
      <c r="M66" s="58"/>
      <c r="N66" s="46"/>
      <c r="O66" s="43"/>
      <c r="P66" s="55"/>
      <c r="Q66" s="46"/>
      <c r="R66" s="43"/>
      <c r="S66" s="55"/>
      <c r="T66" s="55"/>
      <c r="U66" s="46"/>
    </row>
    <row r="67" spans="1:21" s="37" customFormat="1" ht="25.5" x14ac:dyDescent="0.2">
      <c r="A67" s="38" t="s">
        <v>106</v>
      </c>
      <c r="B67" s="43"/>
      <c r="C67" s="43"/>
      <c r="D67" s="43">
        <v>1152.77</v>
      </c>
      <c r="E67" s="43"/>
      <c r="F67" s="43"/>
      <c r="G67" s="44"/>
      <c r="H67" s="45"/>
      <c r="I67" s="58">
        <v>6347.22</v>
      </c>
      <c r="J67" s="46">
        <v>7500</v>
      </c>
      <c r="K67" s="43"/>
      <c r="L67" s="45"/>
      <c r="M67" s="58"/>
      <c r="N67" s="46"/>
      <c r="O67" s="43"/>
      <c r="P67" s="55"/>
      <c r="Q67" s="46"/>
      <c r="R67" s="43"/>
      <c r="S67" s="55"/>
      <c r="T67" s="55"/>
      <c r="U67" s="46"/>
    </row>
    <row r="68" spans="1:21" s="37" customFormat="1" x14ac:dyDescent="0.2">
      <c r="A68" s="38" t="s">
        <v>107</v>
      </c>
      <c r="B68" s="43"/>
      <c r="C68" s="43"/>
      <c r="D68" s="43"/>
      <c r="E68" s="43"/>
      <c r="F68" s="43"/>
      <c r="G68" s="44"/>
      <c r="H68" s="45">
        <v>0</v>
      </c>
      <c r="I68" s="96">
        <v>0</v>
      </c>
      <c r="J68" s="46"/>
      <c r="K68" s="43"/>
      <c r="L68" s="45"/>
      <c r="M68" s="96">
        <v>2500</v>
      </c>
      <c r="N68" s="46"/>
      <c r="O68" s="43"/>
      <c r="P68" s="99">
        <v>15930</v>
      </c>
      <c r="Q68" s="46">
        <v>18430</v>
      </c>
      <c r="R68" s="43"/>
      <c r="S68" s="55"/>
      <c r="T68" s="55"/>
      <c r="U68" s="46"/>
    </row>
    <row r="69" spans="1:21" s="37" customFormat="1" x14ac:dyDescent="0.2">
      <c r="A69" s="38" t="s">
        <v>108</v>
      </c>
      <c r="B69" s="43"/>
      <c r="C69" s="43"/>
      <c r="D69" s="43"/>
      <c r="E69" s="43"/>
      <c r="F69" s="43"/>
      <c r="G69" s="44"/>
      <c r="H69" s="45">
        <v>0</v>
      </c>
      <c r="I69" s="58">
        <v>0</v>
      </c>
      <c r="J69" s="46"/>
      <c r="K69" s="43"/>
      <c r="L69" s="45"/>
      <c r="M69" s="58">
        <v>4200</v>
      </c>
      <c r="N69" s="46"/>
      <c r="O69" s="43"/>
      <c r="P69" s="55">
        <v>12400</v>
      </c>
      <c r="Q69" s="46">
        <v>16600</v>
      </c>
      <c r="R69" s="43"/>
      <c r="S69" s="55"/>
      <c r="T69" s="55"/>
      <c r="U69" s="46"/>
    </row>
    <row r="70" spans="1:21" s="37" customFormat="1" ht="25.5" x14ac:dyDescent="0.2">
      <c r="A70" s="39" t="s">
        <v>77</v>
      </c>
      <c r="B70" s="43"/>
      <c r="C70" s="43"/>
      <c r="D70" s="43"/>
      <c r="E70" s="43">
        <v>15545.26</v>
      </c>
      <c r="F70" s="43"/>
      <c r="G70" s="44"/>
      <c r="H70" s="45"/>
      <c r="I70" s="58"/>
      <c r="J70" s="46"/>
      <c r="K70" s="43"/>
      <c r="L70" s="45"/>
      <c r="M70" s="58"/>
      <c r="N70" s="46"/>
      <c r="O70" s="43"/>
      <c r="P70" s="55"/>
      <c r="Q70" s="46"/>
      <c r="R70" s="43"/>
      <c r="S70" s="55"/>
      <c r="T70" s="55"/>
      <c r="U70" s="46"/>
    </row>
    <row r="71" spans="1:21" s="37" customFormat="1" ht="25.5" x14ac:dyDescent="0.2">
      <c r="A71" s="39" t="s">
        <v>79</v>
      </c>
      <c r="B71" s="43"/>
      <c r="C71" s="43"/>
      <c r="D71" s="43">
        <v>1156.56</v>
      </c>
      <c r="E71" s="43">
        <v>11447.35</v>
      </c>
      <c r="F71" s="43"/>
      <c r="G71" s="44"/>
      <c r="H71" s="45"/>
      <c r="I71" s="58"/>
      <c r="J71" s="46"/>
      <c r="K71" s="43"/>
      <c r="L71" s="45"/>
      <c r="M71" s="58"/>
      <c r="N71" s="46"/>
      <c r="O71" s="43"/>
      <c r="P71" s="55"/>
      <c r="Q71" s="46"/>
      <c r="R71" s="43"/>
      <c r="S71" s="55"/>
      <c r="T71" s="55"/>
      <c r="U71" s="46"/>
    </row>
    <row r="72" spans="1:21" s="37" customFormat="1" x14ac:dyDescent="0.2">
      <c r="A72" s="39" t="s">
        <v>78</v>
      </c>
      <c r="B72" s="43"/>
      <c r="C72" s="43"/>
      <c r="D72" s="43"/>
      <c r="E72" s="43"/>
      <c r="F72" s="43"/>
      <c r="G72" s="44"/>
      <c r="H72" s="45"/>
      <c r="I72" s="58"/>
      <c r="J72" s="46"/>
      <c r="K72" s="43"/>
      <c r="L72" s="45"/>
      <c r="M72" s="58"/>
      <c r="N72" s="46"/>
      <c r="O72" s="43"/>
      <c r="P72" s="55"/>
      <c r="Q72" s="46"/>
      <c r="R72" s="43"/>
      <c r="S72" s="55"/>
      <c r="T72" s="55"/>
      <c r="U72" s="46"/>
    </row>
    <row r="73" spans="1:21" s="37" customFormat="1" x14ac:dyDescent="0.2">
      <c r="A73" s="39" t="s">
        <v>80</v>
      </c>
      <c r="B73" s="43"/>
      <c r="C73" s="43"/>
      <c r="D73" s="43">
        <v>2148.46</v>
      </c>
      <c r="E73" s="43"/>
      <c r="F73" s="43"/>
      <c r="G73" s="44"/>
      <c r="H73" s="45"/>
      <c r="I73" s="58">
        <f>5292+3701.2</f>
        <v>8993.2000000000007</v>
      </c>
      <c r="J73" s="46">
        <v>11142</v>
      </c>
      <c r="K73" s="43"/>
      <c r="L73" s="45"/>
      <c r="M73" s="58"/>
      <c r="N73" s="46"/>
      <c r="O73" s="43"/>
      <c r="P73" s="55"/>
      <c r="Q73" s="46"/>
      <c r="R73" s="43"/>
      <c r="S73" s="55"/>
      <c r="T73" s="55"/>
      <c r="U73" s="46"/>
    </row>
    <row r="74" spans="1:21" s="37" customFormat="1" ht="25.5" x14ac:dyDescent="0.2">
      <c r="A74" s="39" t="s">
        <v>81</v>
      </c>
      <c r="B74" s="43"/>
      <c r="C74" s="43"/>
      <c r="D74" s="43"/>
      <c r="E74" s="43"/>
      <c r="F74" s="43"/>
      <c r="G74" s="44"/>
      <c r="H74" s="45"/>
      <c r="I74" s="58"/>
      <c r="J74" s="46"/>
      <c r="K74" s="43"/>
      <c r="L74" s="45"/>
      <c r="M74" s="58">
        <v>3473</v>
      </c>
      <c r="N74" s="46"/>
      <c r="O74" s="43"/>
      <c r="P74" s="55"/>
      <c r="Q74" s="46">
        <v>3473</v>
      </c>
      <c r="R74" s="43"/>
      <c r="S74" s="55"/>
      <c r="T74" s="55"/>
      <c r="U74" s="46"/>
    </row>
    <row r="75" spans="1:21" s="37" customFormat="1" x14ac:dyDescent="0.2">
      <c r="A75" s="39" t="s">
        <v>82</v>
      </c>
      <c r="B75" s="43"/>
      <c r="C75" s="43"/>
      <c r="D75" s="43"/>
      <c r="E75" s="43"/>
      <c r="F75" s="43"/>
      <c r="G75" s="44"/>
      <c r="H75" s="45"/>
      <c r="I75" s="58"/>
      <c r="J75" s="46"/>
      <c r="K75" s="43"/>
      <c r="L75" s="45"/>
      <c r="M75" s="58">
        <v>4096</v>
      </c>
      <c r="N75" s="46"/>
      <c r="O75" s="43"/>
      <c r="P75" s="55"/>
      <c r="Q75" s="46">
        <v>4096</v>
      </c>
      <c r="R75" s="43"/>
      <c r="S75" s="55"/>
      <c r="T75" s="55"/>
      <c r="U75" s="46"/>
    </row>
    <row r="76" spans="1:21" s="37" customFormat="1" x14ac:dyDescent="0.2">
      <c r="A76" s="39" t="s">
        <v>83</v>
      </c>
      <c r="B76" s="43"/>
      <c r="C76" s="43"/>
      <c r="D76" s="43"/>
      <c r="E76" s="43"/>
      <c r="F76" s="43"/>
      <c r="G76" s="44"/>
      <c r="H76" s="45"/>
      <c r="I76" s="58"/>
      <c r="J76" s="46"/>
      <c r="K76" s="43"/>
      <c r="L76" s="45"/>
      <c r="M76" s="58">
        <v>3819</v>
      </c>
      <c r="N76" s="46"/>
      <c r="O76" s="43"/>
      <c r="P76" s="55"/>
      <c r="Q76" s="46">
        <v>3819</v>
      </c>
      <c r="R76" s="43"/>
      <c r="S76" s="55"/>
      <c r="T76" s="55"/>
      <c r="U76" s="46"/>
    </row>
    <row r="77" spans="1:21" s="37" customFormat="1" x14ac:dyDescent="0.2">
      <c r="A77" s="39" t="s">
        <v>84</v>
      </c>
      <c r="B77" s="43"/>
      <c r="C77" s="43"/>
      <c r="D77" s="43"/>
      <c r="E77" s="43"/>
      <c r="F77" s="43"/>
      <c r="G77" s="44"/>
      <c r="H77" s="45"/>
      <c r="I77" s="58"/>
      <c r="J77" s="46"/>
      <c r="K77" s="43"/>
      <c r="L77" s="45"/>
      <c r="M77" s="58">
        <v>7264</v>
      </c>
      <c r="N77" s="46"/>
      <c r="O77" s="43"/>
      <c r="P77" s="55"/>
      <c r="Q77" s="46">
        <v>7264</v>
      </c>
      <c r="R77" s="43"/>
      <c r="S77" s="55"/>
      <c r="T77" s="55"/>
      <c r="U77" s="46"/>
    </row>
    <row r="78" spans="1:21" s="37" customFormat="1" x14ac:dyDescent="0.2">
      <c r="A78" s="39" t="s">
        <v>85</v>
      </c>
      <c r="B78" s="43"/>
      <c r="C78" s="43"/>
      <c r="D78" s="43"/>
      <c r="E78" s="43"/>
      <c r="F78" s="43"/>
      <c r="G78" s="44"/>
      <c r="H78" s="45"/>
      <c r="I78" s="58"/>
      <c r="J78" s="46"/>
      <c r="K78" s="43"/>
      <c r="L78" s="45"/>
      <c r="M78" s="58">
        <v>12270</v>
      </c>
      <c r="N78" s="46"/>
      <c r="O78" s="43"/>
      <c r="P78" s="55"/>
      <c r="Q78" s="46">
        <v>12270</v>
      </c>
      <c r="R78" s="43"/>
      <c r="S78" s="55"/>
      <c r="T78" s="55"/>
      <c r="U78" s="46"/>
    </row>
    <row r="79" spans="1:21" s="37" customFormat="1" x14ac:dyDescent="0.2">
      <c r="A79" s="39" t="s">
        <v>86</v>
      </c>
      <c r="B79" s="43"/>
      <c r="C79" s="43"/>
      <c r="D79" s="43"/>
      <c r="E79" s="43"/>
      <c r="F79" s="43"/>
      <c r="G79" s="44"/>
      <c r="H79" s="45"/>
      <c r="I79" s="58"/>
      <c r="J79" s="46"/>
      <c r="K79" s="43"/>
      <c r="L79" s="45"/>
      <c r="M79" s="58">
        <v>1561</v>
      </c>
      <c r="N79" s="46"/>
      <c r="O79" s="43"/>
      <c r="P79" s="55"/>
      <c r="Q79" s="46">
        <v>1561</v>
      </c>
      <c r="R79" s="43"/>
      <c r="S79" s="55"/>
      <c r="T79" s="55"/>
      <c r="U79" s="46"/>
    </row>
    <row r="80" spans="1:21" s="37" customFormat="1" x14ac:dyDescent="0.2">
      <c r="A80" s="39" t="s">
        <v>87</v>
      </c>
      <c r="B80" s="43"/>
      <c r="C80" s="43"/>
      <c r="D80" s="43"/>
      <c r="E80" s="43"/>
      <c r="F80" s="43"/>
      <c r="G80" s="44"/>
      <c r="H80" s="45"/>
      <c r="I80" s="58"/>
      <c r="J80" s="46"/>
      <c r="K80" s="43"/>
      <c r="L80" s="45"/>
      <c r="M80" s="58">
        <v>7683</v>
      </c>
      <c r="N80" s="46"/>
      <c r="O80" s="43"/>
      <c r="P80" s="55"/>
      <c r="Q80" s="46">
        <v>7683</v>
      </c>
      <c r="R80" s="43"/>
      <c r="S80" s="55"/>
      <c r="T80" s="55"/>
      <c r="U80" s="46"/>
    </row>
    <row r="81" spans="1:21" s="37" customFormat="1" x14ac:dyDescent="0.2">
      <c r="A81" s="39" t="s">
        <v>88</v>
      </c>
      <c r="B81" s="43"/>
      <c r="C81" s="43"/>
      <c r="D81" s="43"/>
      <c r="E81" s="43"/>
      <c r="F81" s="43"/>
      <c r="G81" s="44"/>
      <c r="H81" s="45"/>
      <c r="I81" s="58"/>
      <c r="J81" s="46"/>
      <c r="K81" s="43"/>
      <c r="L81" s="45"/>
      <c r="M81" s="58">
        <v>10928</v>
      </c>
      <c r="N81" s="46"/>
      <c r="O81" s="43"/>
      <c r="P81" s="55"/>
      <c r="Q81" s="46">
        <v>10928</v>
      </c>
      <c r="R81" s="43"/>
      <c r="S81" s="55"/>
      <c r="T81" s="55"/>
      <c r="U81" s="46"/>
    </row>
    <row r="82" spans="1:21" s="37" customFormat="1" x14ac:dyDescent="0.2">
      <c r="A82" s="39" t="s">
        <v>89</v>
      </c>
      <c r="B82" s="43"/>
      <c r="C82" s="43"/>
      <c r="D82" s="43"/>
      <c r="E82" s="43"/>
      <c r="F82" s="43"/>
      <c r="G82" s="44"/>
      <c r="H82" s="45"/>
      <c r="I82" s="58"/>
      <c r="J82" s="46"/>
      <c r="K82" s="43"/>
      <c r="L82" s="45"/>
      <c r="M82" s="58">
        <v>3356</v>
      </c>
      <c r="N82" s="46"/>
      <c r="O82" s="43"/>
      <c r="P82" s="55"/>
      <c r="Q82" s="46">
        <v>3356</v>
      </c>
      <c r="R82" s="43"/>
      <c r="S82" s="55"/>
      <c r="T82" s="55"/>
      <c r="U82" s="46"/>
    </row>
    <row r="83" spans="1:21" s="37" customFormat="1" x14ac:dyDescent="0.2">
      <c r="A83" s="39" t="s">
        <v>90</v>
      </c>
      <c r="B83" s="43"/>
      <c r="C83" s="43"/>
      <c r="D83" s="43"/>
      <c r="E83" s="43"/>
      <c r="F83" s="43"/>
      <c r="G83" s="44"/>
      <c r="H83" s="45"/>
      <c r="I83" s="58"/>
      <c r="J83" s="46"/>
      <c r="K83" s="43"/>
      <c r="L83" s="45"/>
      <c r="M83" s="58">
        <v>2380</v>
      </c>
      <c r="N83" s="46"/>
      <c r="O83" s="43"/>
      <c r="P83" s="55"/>
      <c r="Q83" s="46">
        <v>2380</v>
      </c>
      <c r="R83" s="43"/>
      <c r="S83" s="55"/>
      <c r="T83" s="55"/>
      <c r="U83" s="46"/>
    </row>
    <row r="84" spans="1:21" s="37" customFormat="1" x14ac:dyDescent="0.2">
      <c r="A84" s="39" t="s">
        <v>155</v>
      </c>
      <c r="B84" s="43"/>
      <c r="C84" s="43"/>
      <c r="D84" s="43"/>
      <c r="E84" s="43"/>
      <c r="F84" s="43"/>
      <c r="G84" s="44"/>
      <c r="H84" s="45"/>
      <c r="I84" s="58"/>
      <c r="J84" s="46"/>
      <c r="K84" s="43"/>
      <c r="L84" s="43"/>
      <c r="M84" s="96">
        <v>7850</v>
      </c>
      <c r="N84" s="97">
        <v>7850</v>
      </c>
      <c r="O84" s="43"/>
      <c r="P84" s="55"/>
      <c r="Q84" s="46"/>
      <c r="R84" s="43"/>
      <c r="S84" s="55"/>
      <c r="T84" s="55"/>
      <c r="U84" s="46"/>
    </row>
    <row r="85" spans="1:21" s="37" customFormat="1" x14ac:dyDescent="0.2">
      <c r="A85" s="39" t="s">
        <v>156</v>
      </c>
      <c r="B85" s="43"/>
      <c r="C85" s="43"/>
      <c r="D85" s="43"/>
      <c r="E85" s="43"/>
      <c r="F85" s="43"/>
      <c r="G85" s="44"/>
      <c r="H85" s="45"/>
      <c r="I85" s="58"/>
      <c r="J85" s="46"/>
      <c r="K85" s="43"/>
      <c r="L85" s="43"/>
      <c r="M85" s="96">
        <v>0</v>
      </c>
      <c r="N85" s="97">
        <v>0</v>
      </c>
      <c r="O85" s="43"/>
      <c r="P85" s="99">
        <v>3800</v>
      </c>
      <c r="Q85" s="97">
        <v>3800</v>
      </c>
      <c r="R85" s="43"/>
      <c r="S85" s="55"/>
      <c r="T85" s="55"/>
      <c r="U85" s="46"/>
    </row>
    <row r="86" spans="1:21" s="37" customFormat="1" ht="25.5" x14ac:dyDescent="0.2">
      <c r="A86" s="39" t="s">
        <v>157</v>
      </c>
      <c r="B86" s="43"/>
      <c r="C86" s="43"/>
      <c r="D86" s="43"/>
      <c r="E86" s="43"/>
      <c r="F86" s="43"/>
      <c r="G86" s="44"/>
      <c r="H86" s="45"/>
      <c r="I86" s="58"/>
      <c r="J86" s="46"/>
      <c r="K86" s="43"/>
      <c r="L86" s="43"/>
      <c r="M86" s="96">
        <v>9600</v>
      </c>
      <c r="N86" s="97">
        <v>9600</v>
      </c>
      <c r="O86" s="43"/>
      <c r="P86" s="55"/>
      <c r="Q86" s="46"/>
      <c r="R86" s="43"/>
      <c r="S86" s="55"/>
      <c r="T86" s="55"/>
      <c r="U86" s="46"/>
    </row>
    <row r="87" spans="1:21" s="37" customFormat="1" x14ac:dyDescent="0.2">
      <c r="A87" s="39" t="s">
        <v>158</v>
      </c>
      <c r="B87" s="43"/>
      <c r="C87" s="43"/>
      <c r="D87" s="43"/>
      <c r="E87" s="43"/>
      <c r="F87" s="43"/>
      <c r="G87" s="44"/>
      <c r="H87" s="45"/>
      <c r="I87" s="58"/>
      <c r="J87" s="46"/>
      <c r="K87" s="43"/>
      <c r="L87" s="43"/>
      <c r="M87" s="96">
        <v>11700</v>
      </c>
      <c r="N87" s="97">
        <v>11700</v>
      </c>
      <c r="O87" s="43"/>
      <c r="P87" s="55"/>
      <c r="Q87" s="46"/>
      <c r="R87" s="43"/>
      <c r="S87" s="55"/>
      <c r="T87" s="55"/>
      <c r="U87" s="46"/>
    </row>
    <row r="88" spans="1:21" s="37" customFormat="1" ht="25.5" x14ac:dyDescent="0.2">
      <c r="A88" s="39" t="s">
        <v>159</v>
      </c>
      <c r="B88" s="43"/>
      <c r="C88" s="43"/>
      <c r="D88" s="43"/>
      <c r="E88" s="43"/>
      <c r="F88" s="43"/>
      <c r="G88" s="44"/>
      <c r="H88" s="45"/>
      <c r="I88" s="58"/>
      <c r="J88" s="46"/>
      <c r="K88" s="43"/>
      <c r="L88" s="43"/>
      <c r="M88" s="96">
        <v>13800</v>
      </c>
      <c r="N88" s="97">
        <v>13800</v>
      </c>
      <c r="O88" s="43"/>
      <c r="P88" s="55"/>
      <c r="Q88" s="46"/>
      <c r="R88" s="43"/>
      <c r="S88" s="55"/>
      <c r="T88" s="55"/>
      <c r="U88" s="46"/>
    </row>
    <row r="89" spans="1:21" x14ac:dyDescent="0.2">
      <c r="A89" s="16" t="s">
        <v>7</v>
      </c>
      <c r="B89" s="23"/>
      <c r="C89" s="23"/>
      <c r="D89" s="23"/>
      <c r="E89" s="23"/>
      <c r="F89" s="23">
        <v>162175.28</v>
      </c>
      <c r="G89" s="6"/>
      <c r="H89" s="6">
        <v>22700</v>
      </c>
      <c r="I89" s="59"/>
      <c r="J89" s="24"/>
      <c r="K89" s="23"/>
      <c r="L89" s="6">
        <v>500</v>
      </c>
      <c r="M89" s="59"/>
      <c r="N89" s="24"/>
      <c r="O89" s="23"/>
      <c r="P89" s="56"/>
      <c r="Q89" s="24"/>
      <c r="R89" s="23"/>
      <c r="S89" s="56"/>
      <c r="T89" s="56"/>
      <c r="U89" s="24"/>
    </row>
    <row r="90" spans="1:21" x14ac:dyDescent="0.2">
      <c r="A90" s="16" t="s">
        <v>8</v>
      </c>
      <c r="B90" s="23"/>
      <c r="C90" s="23"/>
      <c r="D90" s="23"/>
      <c r="E90" s="23"/>
      <c r="F90" s="23"/>
      <c r="G90" s="6"/>
      <c r="H90" s="104">
        <v>34598</v>
      </c>
      <c r="I90" s="59"/>
      <c r="J90" s="24"/>
      <c r="K90" s="47"/>
      <c r="L90" s="104">
        <v>16000</v>
      </c>
      <c r="M90" s="59"/>
      <c r="N90" s="24"/>
      <c r="O90" s="106">
        <v>0</v>
      </c>
      <c r="P90" s="56"/>
      <c r="Q90" s="24"/>
      <c r="R90" s="23"/>
      <c r="S90" s="56"/>
      <c r="T90" s="56"/>
      <c r="U90" s="24"/>
    </row>
    <row r="91" spans="1:21" x14ac:dyDescent="0.2">
      <c r="A91" s="16" t="s">
        <v>9</v>
      </c>
      <c r="B91" s="23"/>
      <c r="C91" s="23"/>
      <c r="D91" s="23"/>
      <c r="E91" s="23"/>
      <c r="F91" s="23"/>
      <c r="G91" s="6"/>
      <c r="H91" s="6">
        <v>5500</v>
      </c>
      <c r="I91" s="59"/>
      <c r="J91" s="24"/>
      <c r="K91" s="47"/>
      <c r="L91" s="6"/>
      <c r="M91" s="59"/>
      <c r="N91" s="24"/>
      <c r="O91" s="23"/>
      <c r="P91" s="56"/>
      <c r="Q91" s="24"/>
      <c r="R91" s="23"/>
      <c r="S91" s="56"/>
      <c r="T91" s="56"/>
      <c r="U91" s="24"/>
    </row>
    <row r="92" spans="1:21" x14ac:dyDescent="0.2">
      <c r="A92" s="16" t="s">
        <v>10</v>
      </c>
      <c r="B92" s="23"/>
      <c r="C92" s="23"/>
      <c r="D92" s="23"/>
      <c r="E92" s="23"/>
      <c r="F92" s="23"/>
      <c r="G92" s="6"/>
      <c r="H92" s="6">
        <v>30200</v>
      </c>
      <c r="I92" s="59"/>
      <c r="J92" s="24"/>
      <c r="K92" s="23"/>
      <c r="L92" s="6"/>
      <c r="M92" s="59"/>
      <c r="N92" s="24"/>
      <c r="O92" s="23"/>
      <c r="P92" s="56"/>
      <c r="Q92" s="24"/>
      <c r="R92" s="23"/>
      <c r="S92" s="56"/>
      <c r="T92" s="56"/>
      <c r="U92" s="24"/>
    </row>
    <row r="93" spans="1:21" x14ac:dyDescent="0.2">
      <c r="A93" s="16" t="s">
        <v>11</v>
      </c>
      <c r="B93" s="23"/>
      <c r="C93" s="23"/>
      <c r="D93" s="23"/>
      <c r="E93" s="23"/>
      <c r="F93" s="23"/>
      <c r="G93" s="6"/>
      <c r="H93" s="6">
        <v>15000</v>
      </c>
      <c r="I93" s="59"/>
      <c r="J93" s="24"/>
      <c r="K93" s="23"/>
      <c r="L93" s="6"/>
      <c r="M93" s="59"/>
      <c r="N93" s="24"/>
      <c r="O93" s="23"/>
      <c r="P93" s="56"/>
      <c r="Q93" s="24"/>
      <c r="R93" s="23"/>
      <c r="S93" s="56"/>
      <c r="T93" s="56"/>
      <c r="U93" s="24"/>
    </row>
    <row r="94" spans="1:21" x14ac:dyDescent="0.2">
      <c r="A94" s="16" t="s">
        <v>12</v>
      </c>
      <c r="B94" s="23"/>
      <c r="C94" s="23"/>
      <c r="D94" s="23"/>
      <c r="E94" s="23"/>
      <c r="F94" s="23"/>
      <c r="G94" s="6"/>
      <c r="H94" s="104">
        <v>0</v>
      </c>
      <c r="I94" s="59"/>
      <c r="J94" s="24"/>
      <c r="K94" s="23"/>
      <c r="L94" s="104">
        <v>52090</v>
      </c>
      <c r="M94" s="59"/>
      <c r="N94" s="24"/>
      <c r="O94" s="23"/>
      <c r="P94" s="56"/>
      <c r="Q94" s="24"/>
      <c r="R94" s="23"/>
      <c r="S94" s="56"/>
      <c r="T94" s="56"/>
      <c r="U94" s="24"/>
    </row>
    <row r="95" spans="1:21" x14ac:dyDescent="0.2">
      <c r="A95" s="16" t="s">
        <v>13</v>
      </c>
      <c r="B95" s="23"/>
      <c r="C95" s="23"/>
      <c r="D95" s="23"/>
      <c r="E95" s="23"/>
      <c r="F95" s="23"/>
      <c r="G95" s="6"/>
      <c r="H95" s="104">
        <v>40000</v>
      </c>
      <c r="I95" s="59"/>
      <c r="J95" s="24"/>
      <c r="K95" s="47"/>
      <c r="L95" s="104">
        <v>0</v>
      </c>
      <c r="M95" s="59"/>
      <c r="N95" s="24"/>
      <c r="O95" s="23"/>
      <c r="P95" s="56"/>
      <c r="Q95" s="24"/>
      <c r="R95" s="23"/>
      <c r="S95" s="56"/>
      <c r="T95" s="56"/>
      <c r="U95" s="24"/>
    </row>
    <row r="96" spans="1:21" x14ac:dyDescent="0.2">
      <c r="A96" s="19" t="s">
        <v>14</v>
      </c>
      <c r="B96" s="23"/>
      <c r="C96" s="23"/>
      <c r="D96" s="23"/>
      <c r="E96" s="23"/>
      <c r="F96" s="23"/>
      <c r="G96" s="6"/>
      <c r="H96" s="104">
        <v>5000</v>
      </c>
      <c r="I96" s="59"/>
      <c r="J96" s="24"/>
      <c r="K96" s="47"/>
      <c r="L96" s="104">
        <v>46139</v>
      </c>
      <c r="M96" s="59"/>
      <c r="N96" s="24"/>
      <c r="O96" s="23"/>
      <c r="P96" s="56"/>
      <c r="Q96" s="24"/>
      <c r="R96" s="23"/>
      <c r="S96" s="56"/>
      <c r="T96" s="56"/>
      <c r="U96" s="24"/>
    </row>
    <row r="97" spans="1:21" x14ac:dyDescent="0.2">
      <c r="A97" s="16" t="s">
        <v>15</v>
      </c>
      <c r="B97" s="23"/>
      <c r="C97" s="23"/>
      <c r="D97" s="23"/>
      <c r="E97" s="23"/>
      <c r="F97" s="23"/>
      <c r="G97" s="6"/>
      <c r="H97" s="104">
        <v>20571</v>
      </c>
      <c r="I97" s="59"/>
      <c r="J97" s="24"/>
      <c r="K97" s="47"/>
      <c r="L97" s="104">
        <v>113428</v>
      </c>
      <c r="M97" s="59"/>
      <c r="N97" s="24"/>
      <c r="O97" s="106">
        <v>42000</v>
      </c>
      <c r="P97" s="56"/>
      <c r="Q97" s="24"/>
      <c r="R97" s="23"/>
      <c r="S97" s="56"/>
      <c r="T97" s="56"/>
      <c r="U97" s="24"/>
    </row>
    <row r="98" spans="1:21" ht="25.5" x14ac:dyDescent="0.2">
      <c r="A98" s="16" t="s">
        <v>35</v>
      </c>
      <c r="B98" s="23"/>
      <c r="C98" s="23"/>
      <c r="D98" s="23"/>
      <c r="E98" s="23"/>
      <c r="F98" s="23"/>
      <c r="G98" s="6"/>
      <c r="H98" s="6">
        <v>6200</v>
      </c>
      <c r="I98" s="59"/>
      <c r="J98" s="24"/>
      <c r="K98" s="23"/>
      <c r="L98" s="6"/>
      <c r="M98" s="59"/>
      <c r="N98" s="24"/>
      <c r="O98" s="23"/>
      <c r="P98" s="56"/>
      <c r="Q98" s="24"/>
      <c r="R98" s="23"/>
      <c r="S98" s="56"/>
      <c r="T98" s="56"/>
      <c r="U98" s="24"/>
    </row>
    <row r="99" spans="1:21" x14ac:dyDescent="0.2">
      <c r="A99" s="16" t="s">
        <v>16</v>
      </c>
      <c r="B99" s="23"/>
      <c r="C99" s="23"/>
      <c r="D99" s="23"/>
      <c r="E99" s="23"/>
      <c r="F99" s="23"/>
      <c r="G99" s="6"/>
      <c r="H99" s="104">
        <v>0</v>
      </c>
      <c r="I99" s="59"/>
      <c r="J99" s="24"/>
      <c r="K99" s="47"/>
      <c r="L99" s="104">
        <v>5500</v>
      </c>
      <c r="M99" s="59"/>
      <c r="N99" s="24"/>
      <c r="O99" s="106">
        <v>25000</v>
      </c>
      <c r="P99" s="56"/>
      <c r="Q99" s="24"/>
      <c r="R99" s="23"/>
      <c r="S99" s="56"/>
      <c r="T99" s="56"/>
      <c r="U99" s="24"/>
    </row>
    <row r="100" spans="1:21" x14ac:dyDescent="0.2">
      <c r="A100" s="16" t="s">
        <v>17</v>
      </c>
      <c r="B100" s="23"/>
      <c r="C100" s="23"/>
      <c r="D100" s="23"/>
      <c r="E100" s="23"/>
      <c r="F100" s="23"/>
      <c r="G100" s="6"/>
      <c r="H100" s="6">
        <v>51000</v>
      </c>
      <c r="I100" s="59"/>
      <c r="J100" s="24"/>
      <c r="K100" s="23"/>
      <c r="L100" s="6"/>
      <c r="M100" s="59"/>
      <c r="N100" s="24"/>
      <c r="O100" s="23"/>
      <c r="P100" s="56"/>
      <c r="Q100" s="24"/>
      <c r="R100" s="23"/>
      <c r="S100" s="56"/>
      <c r="T100" s="56"/>
      <c r="U100" s="24"/>
    </row>
    <row r="101" spans="1:21" ht="38.25" x14ac:dyDescent="0.2">
      <c r="A101" s="16" t="s">
        <v>34</v>
      </c>
      <c r="B101" s="23"/>
      <c r="C101" s="23"/>
      <c r="D101" s="23"/>
      <c r="E101" s="23"/>
      <c r="F101" s="23"/>
      <c r="G101" s="6"/>
      <c r="H101" s="104">
        <v>10000</v>
      </c>
      <c r="I101" s="59"/>
      <c r="J101" s="24"/>
      <c r="K101" s="23"/>
      <c r="L101" s="104">
        <v>28000</v>
      </c>
      <c r="M101" s="59"/>
      <c r="N101" s="24"/>
      <c r="O101" s="23"/>
      <c r="P101" s="56"/>
      <c r="Q101" s="24"/>
      <c r="R101" s="23"/>
      <c r="S101" s="56"/>
      <c r="T101" s="56"/>
      <c r="U101" s="24"/>
    </row>
    <row r="102" spans="1:21" x14ac:dyDescent="0.2">
      <c r="A102" s="16" t="s">
        <v>18</v>
      </c>
      <c r="B102" s="23"/>
      <c r="C102" s="23"/>
      <c r="D102" s="23"/>
      <c r="E102" s="23"/>
      <c r="F102" s="23"/>
      <c r="G102" s="6"/>
      <c r="H102" s="104">
        <v>45000</v>
      </c>
      <c r="I102" s="59"/>
      <c r="J102" s="24"/>
      <c r="K102" s="47"/>
      <c r="L102" s="104">
        <v>0</v>
      </c>
      <c r="M102" s="59"/>
      <c r="N102" s="24"/>
      <c r="O102" s="23"/>
      <c r="P102" s="56"/>
      <c r="Q102" s="24"/>
      <c r="R102" s="23"/>
      <c r="S102" s="56"/>
      <c r="T102" s="56"/>
      <c r="U102" s="24"/>
    </row>
    <row r="103" spans="1:21" s="8" customFormat="1" x14ac:dyDescent="0.2">
      <c r="A103" s="17" t="s">
        <v>28</v>
      </c>
      <c r="B103" s="25">
        <f t="shared" ref="B103:R103" si="3">SUM(B63:B102)</f>
        <v>0</v>
      </c>
      <c r="C103" s="25">
        <f t="shared" si="3"/>
        <v>0</v>
      </c>
      <c r="D103" s="25">
        <f t="shared" si="3"/>
        <v>11784.489999999998</v>
      </c>
      <c r="E103" s="25">
        <f t="shared" si="3"/>
        <v>26992.61</v>
      </c>
      <c r="F103" s="25">
        <f t="shared" si="3"/>
        <v>162175.28</v>
      </c>
      <c r="G103" s="1">
        <f t="shared" si="3"/>
        <v>0</v>
      </c>
      <c r="H103" s="1">
        <f t="shared" si="3"/>
        <v>285769</v>
      </c>
      <c r="I103" s="60">
        <f t="shared" si="3"/>
        <v>49612.67</v>
      </c>
      <c r="J103" s="63">
        <f t="shared" si="3"/>
        <v>60132</v>
      </c>
      <c r="K103" s="25">
        <f t="shared" si="3"/>
        <v>0</v>
      </c>
      <c r="L103" s="1">
        <f>SUM(L63:L102)</f>
        <v>261657</v>
      </c>
      <c r="M103" s="1">
        <f t="shared" ref="M103:N103" si="4">SUM(M63:M102)</f>
        <v>112480</v>
      </c>
      <c r="N103" s="1">
        <f t="shared" si="4"/>
        <v>42950</v>
      </c>
      <c r="O103" s="25">
        <f t="shared" si="3"/>
        <v>67000</v>
      </c>
      <c r="P103" s="15">
        <f t="shared" si="3"/>
        <v>46330</v>
      </c>
      <c r="Q103" s="26">
        <f t="shared" si="3"/>
        <v>115860</v>
      </c>
      <c r="R103" s="25">
        <f t="shared" si="3"/>
        <v>0</v>
      </c>
      <c r="S103" s="15"/>
      <c r="T103" s="15">
        <f>SUM(T63:T102)</f>
        <v>0</v>
      </c>
      <c r="U103" s="26">
        <f>SUM(U63:U102)</f>
        <v>0</v>
      </c>
    </row>
    <row r="104" spans="1:21" s="37" customFormat="1" x14ac:dyDescent="0.2">
      <c r="A104" s="40" t="s">
        <v>91</v>
      </c>
      <c r="B104" s="43"/>
      <c r="C104" s="43"/>
      <c r="D104" s="43"/>
      <c r="E104" s="43"/>
      <c r="F104" s="43"/>
      <c r="G104" s="44"/>
      <c r="H104" s="45"/>
      <c r="I104" s="58"/>
      <c r="J104" s="46"/>
      <c r="K104" s="43"/>
      <c r="L104" s="45"/>
      <c r="M104" s="58"/>
      <c r="N104" s="46"/>
      <c r="O104" s="43"/>
      <c r="P104" s="99">
        <v>0</v>
      </c>
      <c r="Q104" s="97">
        <v>0</v>
      </c>
      <c r="R104" s="23"/>
      <c r="S104" s="56"/>
      <c r="T104" s="56"/>
      <c r="U104" s="24"/>
    </row>
    <row r="105" spans="1:21" s="37" customFormat="1" ht="25.5" x14ac:dyDescent="0.2">
      <c r="A105" s="72" t="s">
        <v>144</v>
      </c>
      <c r="B105" s="43"/>
      <c r="C105" s="43"/>
      <c r="D105" s="43">
        <v>19688.03</v>
      </c>
      <c r="E105" s="43"/>
      <c r="F105" s="43"/>
      <c r="G105" s="44"/>
      <c r="H105" s="45"/>
      <c r="I105" s="58"/>
      <c r="J105" s="46">
        <v>19738.099999999999</v>
      </c>
      <c r="K105" s="43"/>
      <c r="L105" s="45"/>
      <c r="M105" s="58"/>
      <c r="N105" s="46"/>
      <c r="O105" s="43"/>
      <c r="P105" s="55"/>
      <c r="Q105" s="46"/>
      <c r="R105" s="23"/>
      <c r="S105" s="56"/>
      <c r="T105" s="56"/>
      <c r="U105" s="24"/>
    </row>
    <row r="106" spans="1:21" s="8" customFormat="1" x14ac:dyDescent="0.2">
      <c r="A106" s="100" t="s">
        <v>165</v>
      </c>
      <c r="B106" s="43"/>
      <c r="C106" s="43"/>
      <c r="D106" s="43"/>
      <c r="E106" s="43"/>
      <c r="F106" s="43"/>
      <c r="G106" s="44"/>
      <c r="H106" s="45"/>
      <c r="I106" s="58">
        <v>0</v>
      </c>
      <c r="J106" s="46"/>
      <c r="K106" s="43"/>
      <c r="L106" s="45"/>
      <c r="M106" s="96">
        <v>45900</v>
      </c>
      <c r="N106" s="96">
        <v>28000</v>
      </c>
      <c r="O106" s="43"/>
      <c r="P106" s="99">
        <v>2520</v>
      </c>
      <c r="Q106" s="97">
        <v>20420</v>
      </c>
      <c r="R106" s="43"/>
      <c r="S106" s="55"/>
      <c r="T106" s="55"/>
      <c r="U106" s="46"/>
    </row>
    <row r="107" spans="1:21" s="8" customFormat="1" x14ac:dyDescent="0.2">
      <c r="A107" s="100" t="s">
        <v>166</v>
      </c>
      <c r="B107" s="43"/>
      <c r="C107" s="43"/>
      <c r="D107" s="43"/>
      <c r="E107" s="43"/>
      <c r="F107" s="43"/>
      <c r="G107" s="44"/>
      <c r="H107" s="45"/>
      <c r="I107" s="58">
        <v>0</v>
      </c>
      <c r="J107" s="46"/>
      <c r="K107" s="43"/>
      <c r="L107" s="45"/>
      <c r="M107" s="96">
        <v>14989</v>
      </c>
      <c r="N107" s="96">
        <v>14989</v>
      </c>
      <c r="O107" s="43"/>
      <c r="P107" s="55"/>
      <c r="Q107" s="46"/>
      <c r="R107" s="43"/>
      <c r="S107" s="55"/>
      <c r="T107" s="55"/>
      <c r="U107" s="46"/>
    </row>
    <row r="108" spans="1:21" s="8" customFormat="1" x14ac:dyDescent="0.2">
      <c r="A108" s="100" t="s">
        <v>167</v>
      </c>
      <c r="B108" s="43"/>
      <c r="C108" s="43"/>
      <c r="D108" s="43"/>
      <c r="E108" s="43"/>
      <c r="F108" s="43"/>
      <c r="G108" s="44"/>
      <c r="H108" s="45"/>
      <c r="I108" s="58">
        <v>0</v>
      </c>
      <c r="J108" s="46"/>
      <c r="K108" s="43"/>
      <c r="L108" s="45"/>
      <c r="M108" s="96">
        <v>2790</v>
      </c>
      <c r="N108" s="58"/>
      <c r="O108" s="43"/>
      <c r="P108" s="99">
        <v>21330</v>
      </c>
      <c r="Q108" s="97">
        <v>24120</v>
      </c>
      <c r="R108" s="43"/>
      <c r="S108" s="55"/>
      <c r="T108" s="55"/>
      <c r="U108" s="46"/>
    </row>
    <row r="109" spans="1:21" x14ac:dyDescent="0.2">
      <c r="A109" s="20" t="s">
        <v>19</v>
      </c>
      <c r="B109" s="23"/>
      <c r="C109" s="23"/>
      <c r="D109" s="23"/>
      <c r="E109" s="23"/>
      <c r="F109" s="23"/>
      <c r="G109" s="6"/>
      <c r="H109" s="7">
        <v>41000</v>
      </c>
      <c r="I109" s="62"/>
      <c r="J109" s="32"/>
      <c r="K109" s="23"/>
      <c r="L109" s="6"/>
      <c r="M109" s="59"/>
      <c r="N109" s="24"/>
      <c r="O109" s="23"/>
      <c r="P109" s="56"/>
      <c r="Q109" s="24"/>
      <c r="R109" s="23"/>
      <c r="S109" s="56"/>
      <c r="T109" s="56"/>
      <c r="U109" s="24"/>
    </row>
    <row r="110" spans="1:21" x14ac:dyDescent="0.2">
      <c r="A110" s="20" t="s">
        <v>20</v>
      </c>
      <c r="B110" s="23"/>
      <c r="C110" s="23"/>
      <c r="D110" s="23"/>
      <c r="E110" s="23"/>
      <c r="F110" s="23"/>
      <c r="G110" s="6"/>
      <c r="H110" s="6">
        <v>115000</v>
      </c>
      <c r="I110" s="59"/>
      <c r="J110" s="24"/>
      <c r="K110" s="47"/>
      <c r="L110" s="6">
        <v>69416</v>
      </c>
      <c r="M110" s="59"/>
      <c r="N110" s="24"/>
      <c r="O110" s="23"/>
      <c r="P110" s="56"/>
      <c r="Q110" s="24"/>
      <c r="R110" s="23"/>
      <c r="S110" s="56"/>
      <c r="T110" s="56"/>
      <c r="U110" s="24"/>
    </row>
    <row r="111" spans="1:21" x14ac:dyDescent="0.2">
      <c r="A111" s="20" t="s">
        <v>21</v>
      </c>
      <c r="B111" s="23"/>
      <c r="C111" s="23"/>
      <c r="D111" s="23"/>
      <c r="E111" s="23"/>
      <c r="F111" s="23"/>
      <c r="G111" s="6"/>
      <c r="H111" s="6">
        <v>3500</v>
      </c>
      <c r="I111" s="59"/>
      <c r="J111" s="24"/>
      <c r="K111" s="47"/>
      <c r="L111" s="6">
        <v>15500</v>
      </c>
      <c r="M111" s="59"/>
      <c r="N111" s="24"/>
      <c r="O111" s="23"/>
      <c r="P111" s="56"/>
      <c r="Q111" s="24"/>
      <c r="R111" s="23"/>
      <c r="S111" s="56"/>
      <c r="T111" s="56"/>
      <c r="U111" s="24"/>
    </row>
    <row r="112" spans="1:21" x14ac:dyDescent="0.2">
      <c r="A112" s="20" t="s">
        <v>22</v>
      </c>
      <c r="B112" s="23"/>
      <c r="C112" s="23"/>
      <c r="D112" s="23"/>
      <c r="E112" s="23"/>
      <c r="F112" s="23"/>
      <c r="G112" s="6"/>
      <c r="H112" s="6">
        <f>1000+2500</f>
        <v>3500</v>
      </c>
      <c r="I112" s="59"/>
      <c r="J112" s="24"/>
      <c r="K112" s="23"/>
      <c r="L112" s="6">
        <f>32500-2500</f>
        <v>30000</v>
      </c>
      <c r="M112" s="59"/>
      <c r="N112" s="24"/>
      <c r="O112" s="23"/>
      <c r="P112" s="56"/>
      <c r="Q112" s="24"/>
      <c r="R112" s="23"/>
      <c r="S112" s="56"/>
      <c r="T112" s="56"/>
      <c r="U112" s="24"/>
    </row>
    <row r="113" spans="1:21" s="8" customFormat="1" x14ac:dyDescent="0.2">
      <c r="A113" s="17" t="s">
        <v>29</v>
      </c>
      <c r="B113" s="25">
        <f t="shared" ref="B113:R113" si="5">SUM(B104:B112)</f>
        <v>0</v>
      </c>
      <c r="C113" s="25">
        <f>SUM(C104:C112)</f>
        <v>0</v>
      </c>
      <c r="D113" s="25">
        <f t="shared" si="5"/>
        <v>19688.03</v>
      </c>
      <c r="E113" s="25">
        <f t="shared" si="5"/>
        <v>0</v>
      </c>
      <c r="F113" s="25">
        <f t="shared" si="5"/>
        <v>0</v>
      </c>
      <c r="G113" s="1">
        <f t="shared" si="5"/>
        <v>0</v>
      </c>
      <c r="H113" s="1">
        <f t="shared" si="5"/>
        <v>163000</v>
      </c>
      <c r="I113" s="60">
        <f t="shared" si="5"/>
        <v>0</v>
      </c>
      <c r="J113" s="63">
        <f t="shared" si="5"/>
        <v>19738.099999999999</v>
      </c>
      <c r="K113" s="25">
        <f t="shared" si="5"/>
        <v>0</v>
      </c>
      <c r="L113" s="1">
        <f t="shared" si="5"/>
        <v>114916</v>
      </c>
      <c r="M113" s="1">
        <f t="shared" si="5"/>
        <v>63679</v>
      </c>
      <c r="N113" s="26">
        <f t="shared" si="5"/>
        <v>42989</v>
      </c>
      <c r="O113" s="25">
        <f t="shared" si="5"/>
        <v>0</v>
      </c>
      <c r="P113" s="15">
        <f t="shared" si="5"/>
        <v>23850</v>
      </c>
      <c r="Q113" s="26">
        <f t="shared" si="5"/>
        <v>44540</v>
      </c>
      <c r="R113" s="25">
        <f t="shared" si="5"/>
        <v>0</v>
      </c>
      <c r="S113" s="15"/>
      <c r="T113" s="15">
        <f>SUM(T104:T112)</f>
        <v>0</v>
      </c>
      <c r="U113" s="26">
        <f>SUM(U104:U112)</f>
        <v>0</v>
      </c>
    </row>
    <row r="114" spans="1:21" s="37" customFormat="1" x14ac:dyDescent="0.2">
      <c r="A114" s="41" t="s">
        <v>109</v>
      </c>
      <c r="B114" s="43"/>
      <c r="C114" s="43"/>
      <c r="D114" s="43"/>
      <c r="E114" s="43"/>
      <c r="F114" s="43"/>
      <c r="G114" s="44"/>
      <c r="H114" s="45"/>
      <c r="I114" s="58"/>
      <c r="J114" s="46"/>
      <c r="K114" s="43"/>
      <c r="L114" s="45"/>
      <c r="M114" s="58"/>
      <c r="N114" s="46"/>
      <c r="O114" s="43"/>
      <c r="P114" s="55"/>
      <c r="Q114" s="46"/>
      <c r="R114" s="43"/>
      <c r="S114" s="55"/>
      <c r="T114" s="55"/>
      <c r="U114" s="46"/>
    </row>
    <row r="115" spans="1:21" s="37" customFormat="1" x14ac:dyDescent="0.2">
      <c r="A115" s="41" t="s">
        <v>110</v>
      </c>
      <c r="B115" s="43"/>
      <c r="C115" s="43"/>
      <c r="D115" s="43">
        <v>205.7</v>
      </c>
      <c r="E115" s="43"/>
      <c r="F115" s="43"/>
      <c r="G115" s="44"/>
      <c r="H115" s="45"/>
      <c r="I115" s="58">
        <f>13000+106.48</f>
        <v>13106.48</v>
      </c>
      <c r="J115" s="46">
        <v>9000</v>
      </c>
      <c r="K115" s="43"/>
      <c r="L115" s="45"/>
      <c r="M115" s="58">
        <v>30000</v>
      </c>
      <c r="N115" s="46">
        <v>27200</v>
      </c>
      <c r="O115" s="43"/>
      <c r="P115" s="55">
        <v>2276</v>
      </c>
      <c r="Q115" s="46">
        <v>9076</v>
      </c>
      <c r="R115" s="43"/>
      <c r="S115" s="55"/>
      <c r="T115" s="55"/>
      <c r="U115" s="46"/>
    </row>
    <row r="116" spans="1:21" s="8" customFormat="1" x14ac:dyDescent="0.2">
      <c r="A116" s="17" t="s">
        <v>32</v>
      </c>
      <c r="B116" s="25">
        <f t="shared" ref="B116:R116" si="6">SUM(B114:B115)</f>
        <v>0</v>
      </c>
      <c r="C116" s="25">
        <f t="shared" si="6"/>
        <v>0</v>
      </c>
      <c r="D116" s="25">
        <f t="shared" si="6"/>
        <v>205.7</v>
      </c>
      <c r="E116" s="25">
        <f t="shared" si="6"/>
        <v>0</v>
      </c>
      <c r="F116" s="25">
        <f t="shared" si="6"/>
        <v>0</v>
      </c>
      <c r="G116" s="1">
        <f t="shared" si="6"/>
        <v>0</v>
      </c>
      <c r="H116" s="1">
        <f t="shared" si="6"/>
        <v>0</v>
      </c>
      <c r="I116" s="60">
        <f t="shared" si="6"/>
        <v>13106.48</v>
      </c>
      <c r="J116" s="63">
        <f t="shared" si="6"/>
        <v>9000</v>
      </c>
      <c r="K116" s="25">
        <f t="shared" si="6"/>
        <v>0</v>
      </c>
      <c r="L116" s="1">
        <f t="shared" si="6"/>
        <v>0</v>
      </c>
      <c r="M116" s="1">
        <f t="shared" si="6"/>
        <v>30000</v>
      </c>
      <c r="N116" s="26">
        <f t="shared" si="6"/>
        <v>27200</v>
      </c>
      <c r="O116" s="25">
        <f t="shared" si="6"/>
        <v>0</v>
      </c>
      <c r="P116" s="15">
        <f t="shared" si="6"/>
        <v>2276</v>
      </c>
      <c r="Q116" s="26">
        <f t="shared" si="6"/>
        <v>9076</v>
      </c>
      <c r="R116" s="25">
        <f t="shared" si="6"/>
        <v>0</v>
      </c>
      <c r="S116" s="15"/>
      <c r="T116" s="15">
        <f>SUM(T114:T115)</f>
        <v>0</v>
      </c>
      <c r="U116" s="26">
        <f>SUM(U114:U115)</f>
        <v>0</v>
      </c>
    </row>
    <row r="117" spans="1:21" s="37" customFormat="1" x14ac:dyDescent="0.2">
      <c r="A117" s="42" t="s">
        <v>98</v>
      </c>
      <c r="B117" s="43"/>
      <c r="C117" s="43"/>
      <c r="D117" s="43"/>
      <c r="E117" s="43"/>
      <c r="F117" s="43"/>
      <c r="G117" s="44"/>
      <c r="H117" s="45"/>
      <c r="I117" s="58"/>
      <c r="J117" s="46"/>
      <c r="K117" s="43"/>
      <c r="L117" s="45"/>
      <c r="M117" s="58">
        <v>69500</v>
      </c>
      <c r="N117" s="46">
        <v>69500</v>
      </c>
      <c r="O117" s="43"/>
      <c r="P117" s="55"/>
      <c r="Q117" s="46"/>
      <c r="R117" s="43"/>
      <c r="S117" s="55"/>
      <c r="T117" s="55"/>
      <c r="U117" s="46"/>
    </row>
    <row r="118" spans="1:21" s="37" customFormat="1" ht="25.5" x14ac:dyDescent="0.2">
      <c r="A118" s="42" t="s">
        <v>99</v>
      </c>
      <c r="B118" s="43"/>
      <c r="C118" s="43"/>
      <c r="D118" s="43"/>
      <c r="E118" s="43"/>
      <c r="F118" s="43"/>
      <c r="G118" s="44"/>
      <c r="H118" s="45"/>
      <c r="I118" s="58"/>
      <c r="J118" s="46"/>
      <c r="K118" s="43"/>
      <c r="L118" s="45"/>
      <c r="M118" s="58">
        <v>14784</v>
      </c>
      <c r="N118" s="46"/>
      <c r="O118" s="43"/>
      <c r="P118" s="55"/>
      <c r="Q118" s="46">
        <v>14784</v>
      </c>
      <c r="R118" s="43"/>
      <c r="S118" s="55"/>
      <c r="T118" s="55"/>
      <c r="U118" s="46"/>
    </row>
    <row r="119" spans="1:21" s="37" customFormat="1" x14ac:dyDescent="0.2">
      <c r="A119" s="42" t="s">
        <v>100</v>
      </c>
      <c r="B119" s="43"/>
      <c r="C119" s="43"/>
      <c r="D119" s="43"/>
      <c r="E119" s="43"/>
      <c r="F119" s="43"/>
      <c r="G119" s="44"/>
      <c r="H119" s="45"/>
      <c r="I119" s="58"/>
      <c r="J119" s="46"/>
      <c r="K119" s="43"/>
      <c r="L119" s="45"/>
      <c r="M119" s="58">
        <v>88500</v>
      </c>
      <c r="N119" s="46">
        <v>88500</v>
      </c>
      <c r="O119" s="43"/>
      <c r="P119" s="55"/>
      <c r="Q119" s="46"/>
      <c r="R119" s="43"/>
      <c r="S119" s="55"/>
      <c r="T119" s="55"/>
      <c r="U119" s="46"/>
    </row>
    <row r="120" spans="1:21" x14ac:dyDescent="0.2">
      <c r="A120" s="40" t="s">
        <v>92</v>
      </c>
      <c r="B120" s="23"/>
      <c r="C120" s="23"/>
      <c r="D120" s="23"/>
      <c r="E120" s="23"/>
      <c r="F120" s="23"/>
      <c r="G120" s="6"/>
      <c r="H120" s="6"/>
      <c r="I120" s="59"/>
      <c r="J120" s="24"/>
      <c r="K120" s="23"/>
      <c r="L120" s="6"/>
      <c r="M120" s="59"/>
      <c r="N120" s="24"/>
      <c r="O120" s="23"/>
      <c r="P120" s="56">
        <v>141437</v>
      </c>
      <c r="Q120" s="24">
        <v>141437</v>
      </c>
      <c r="R120" s="23"/>
      <c r="S120" s="56"/>
      <c r="T120" s="56"/>
      <c r="U120" s="24"/>
    </row>
    <row r="121" spans="1:21" s="8" customFormat="1" x14ac:dyDescent="0.2">
      <c r="A121" s="17" t="s">
        <v>93</v>
      </c>
      <c r="B121" s="25">
        <f t="shared" ref="B121:R121" si="7">SUM(B117:B120)</f>
        <v>0</v>
      </c>
      <c r="C121" s="25">
        <f t="shared" si="7"/>
        <v>0</v>
      </c>
      <c r="D121" s="25">
        <f t="shared" si="7"/>
        <v>0</v>
      </c>
      <c r="E121" s="25">
        <f t="shared" si="7"/>
        <v>0</v>
      </c>
      <c r="F121" s="25">
        <f t="shared" si="7"/>
        <v>0</v>
      </c>
      <c r="G121" s="1">
        <f t="shared" si="7"/>
        <v>0</v>
      </c>
      <c r="H121" s="1">
        <f t="shared" si="7"/>
        <v>0</v>
      </c>
      <c r="I121" s="60">
        <f t="shared" si="7"/>
        <v>0</v>
      </c>
      <c r="J121" s="63">
        <f t="shared" si="7"/>
        <v>0</v>
      </c>
      <c r="K121" s="25">
        <f t="shared" si="7"/>
        <v>0</v>
      </c>
      <c r="L121" s="1">
        <f t="shared" si="7"/>
        <v>0</v>
      </c>
      <c r="M121" s="1">
        <f t="shared" si="7"/>
        <v>172784</v>
      </c>
      <c r="N121" s="26">
        <f t="shared" si="7"/>
        <v>158000</v>
      </c>
      <c r="O121" s="25">
        <f t="shared" si="7"/>
        <v>0</v>
      </c>
      <c r="P121" s="15">
        <f t="shared" si="7"/>
        <v>141437</v>
      </c>
      <c r="Q121" s="26">
        <f t="shared" si="7"/>
        <v>156221</v>
      </c>
      <c r="R121" s="25">
        <f t="shared" si="7"/>
        <v>0</v>
      </c>
      <c r="S121" s="15"/>
      <c r="T121" s="15">
        <f>SUM(T117:T120)</f>
        <v>0</v>
      </c>
      <c r="U121" s="26">
        <f>SUM(U117:U120)</f>
        <v>0</v>
      </c>
    </row>
    <row r="122" spans="1:21" s="37" customFormat="1" x14ac:dyDescent="0.2">
      <c r="A122" s="41" t="s">
        <v>111</v>
      </c>
      <c r="B122" s="43"/>
      <c r="C122" s="43"/>
      <c r="D122" s="43"/>
      <c r="E122" s="43"/>
      <c r="F122" s="43"/>
      <c r="G122" s="44"/>
      <c r="H122" s="45"/>
      <c r="I122" s="58"/>
      <c r="J122" s="46"/>
      <c r="K122" s="43"/>
      <c r="L122" s="89">
        <v>15000</v>
      </c>
      <c r="M122" s="58">
        <v>84500</v>
      </c>
      <c r="N122" s="46"/>
      <c r="O122" s="90">
        <v>20915</v>
      </c>
      <c r="P122" s="55">
        <v>113500</v>
      </c>
      <c r="Q122" s="46">
        <v>198000</v>
      </c>
      <c r="R122" s="43"/>
      <c r="S122" s="55"/>
      <c r="T122" s="55"/>
      <c r="U122" s="46"/>
    </row>
    <row r="123" spans="1:21" s="8" customFormat="1" x14ac:dyDescent="0.2">
      <c r="A123" s="17" t="s">
        <v>112</v>
      </c>
      <c r="B123" s="1">
        <f t="shared" ref="B123:U123" si="8">SUBTOTAL(9,B122)</f>
        <v>0</v>
      </c>
      <c r="C123" s="1">
        <f t="shared" si="8"/>
        <v>0</v>
      </c>
      <c r="D123" s="1">
        <f t="shared" si="8"/>
        <v>0</v>
      </c>
      <c r="E123" s="1">
        <f t="shared" si="8"/>
        <v>0</v>
      </c>
      <c r="F123" s="1">
        <f t="shared" si="8"/>
        <v>0</v>
      </c>
      <c r="G123" s="1">
        <f t="shared" si="8"/>
        <v>0</v>
      </c>
      <c r="H123" s="1">
        <f t="shared" si="8"/>
        <v>0</v>
      </c>
      <c r="I123" s="60">
        <f t="shared" si="8"/>
        <v>0</v>
      </c>
      <c r="J123" s="63">
        <f t="shared" si="8"/>
        <v>0</v>
      </c>
      <c r="K123" s="25">
        <f t="shared" si="8"/>
        <v>0</v>
      </c>
      <c r="L123" s="1">
        <f t="shared" si="8"/>
        <v>15000</v>
      </c>
      <c r="M123" s="1">
        <f t="shared" si="8"/>
        <v>84500</v>
      </c>
      <c r="N123" s="26">
        <f t="shared" si="8"/>
        <v>0</v>
      </c>
      <c r="O123" s="25">
        <f t="shared" si="8"/>
        <v>20915</v>
      </c>
      <c r="P123" s="15">
        <f>SUM(P122)</f>
        <v>113500</v>
      </c>
      <c r="Q123" s="26">
        <f t="shared" si="8"/>
        <v>198000</v>
      </c>
      <c r="R123" s="25">
        <f t="shared" si="8"/>
        <v>0</v>
      </c>
      <c r="S123" s="15"/>
      <c r="T123" s="15">
        <f>SUM(T122)</f>
        <v>0</v>
      </c>
      <c r="U123" s="26">
        <f t="shared" si="8"/>
        <v>0</v>
      </c>
    </row>
    <row r="124" spans="1:21" s="8" customFormat="1" ht="18.75" customHeight="1" x14ac:dyDescent="0.2">
      <c r="A124" s="73"/>
      <c r="B124" s="74">
        <f t="shared" ref="B124:R124" si="9">B123+B121+B116+B113+B103+B62+B49+B34</f>
        <v>0</v>
      </c>
      <c r="C124" s="74">
        <f t="shared" si="9"/>
        <v>0</v>
      </c>
      <c r="D124" s="74">
        <f t="shared" si="9"/>
        <v>312288.5</v>
      </c>
      <c r="E124" s="74">
        <f t="shared" si="9"/>
        <v>331976.3</v>
      </c>
      <c r="F124" s="74">
        <f t="shared" si="9"/>
        <v>199479.2</v>
      </c>
      <c r="G124" s="74">
        <f t="shared" si="9"/>
        <v>0</v>
      </c>
      <c r="H124" s="74">
        <f t="shared" si="9"/>
        <v>730240</v>
      </c>
      <c r="I124" s="74">
        <f t="shared" si="9"/>
        <v>688354.27</v>
      </c>
      <c r="J124" s="74">
        <f t="shared" si="9"/>
        <v>584267.05000000005</v>
      </c>
      <c r="K124" s="74">
        <f t="shared" si="9"/>
        <v>0</v>
      </c>
      <c r="L124" s="74">
        <f t="shared" si="9"/>
        <v>1018249</v>
      </c>
      <c r="M124" s="74">
        <f t="shared" si="9"/>
        <v>919327.58</v>
      </c>
      <c r="N124" s="74">
        <f t="shared" si="9"/>
        <v>728237.99</v>
      </c>
      <c r="O124" s="74">
        <f t="shared" si="9"/>
        <v>471228</v>
      </c>
      <c r="P124" s="74">
        <f t="shared" si="9"/>
        <v>806154</v>
      </c>
      <c r="Q124" s="74">
        <f t="shared" si="9"/>
        <v>1413515</v>
      </c>
      <c r="R124" s="74">
        <f t="shared" si="9"/>
        <v>671044</v>
      </c>
      <c r="S124" s="75"/>
      <c r="T124" s="74">
        <f>T123+T121+T116+T113+T103+T62+T49+T34</f>
        <v>0</v>
      </c>
      <c r="U124" s="74">
        <f>U123+U121+U116+U113+U103+U62+U49+U34</f>
        <v>125615</v>
      </c>
    </row>
    <row r="125" spans="1:21" s="8" customFormat="1" x14ac:dyDescent="0.2">
      <c r="A125" s="2"/>
      <c r="B125" s="29"/>
      <c r="C125" s="29"/>
      <c r="D125" s="29"/>
      <c r="E125" s="29"/>
      <c r="F125" s="29"/>
      <c r="G125" s="3"/>
      <c r="H125" s="3"/>
      <c r="I125" s="3"/>
      <c r="J125" s="64"/>
      <c r="K125" s="29"/>
      <c r="L125" s="3"/>
      <c r="M125" s="3"/>
      <c r="N125" s="30"/>
      <c r="O125" s="29"/>
      <c r="P125" s="3"/>
      <c r="Q125" s="30"/>
      <c r="R125" s="29"/>
      <c r="S125" s="3"/>
      <c r="T125" s="3"/>
      <c r="U125" s="30"/>
    </row>
    <row r="126" spans="1:21" s="8" customFormat="1" ht="38.25" x14ac:dyDescent="0.2">
      <c r="A126" s="51" t="s">
        <v>137</v>
      </c>
      <c r="B126" s="66"/>
      <c r="C126" s="66"/>
      <c r="D126" s="66"/>
      <c r="E126" s="66"/>
      <c r="F126" s="66"/>
      <c r="G126" s="67"/>
      <c r="H126" s="67"/>
      <c r="I126" s="68"/>
      <c r="J126" s="69"/>
      <c r="K126" s="66"/>
      <c r="L126" s="67"/>
      <c r="M126" s="68"/>
      <c r="N126" s="69"/>
      <c r="O126" s="66"/>
      <c r="P126" s="70"/>
      <c r="Q126" s="69"/>
      <c r="R126" s="66"/>
      <c r="S126" s="70"/>
      <c r="T126" s="70"/>
      <c r="U126" s="69"/>
    </row>
    <row r="127" spans="1:21" s="8" customFormat="1" ht="38.25" x14ac:dyDescent="0.2">
      <c r="A127" s="52" t="s">
        <v>117</v>
      </c>
      <c r="B127" s="43"/>
      <c r="C127" s="43"/>
      <c r="D127" s="43">
        <v>4200.32</v>
      </c>
      <c r="E127" s="43">
        <v>0</v>
      </c>
      <c r="F127" s="43"/>
      <c r="G127" s="44"/>
      <c r="H127" s="45"/>
      <c r="I127" s="58"/>
      <c r="J127" s="46">
        <v>5354.55</v>
      </c>
      <c r="K127" s="43"/>
      <c r="L127" s="45"/>
      <c r="M127" s="58"/>
      <c r="N127" s="46"/>
      <c r="O127" s="43"/>
      <c r="P127" s="55"/>
      <c r="Q127" s="46"/>
      <c r="R127" s="43"/>
      <c r="S127" s="55"/>
      <c r="T127" s="55"/>
      <c r="U127" s="46"/>
    </row>
    <row r="128" spans="1:21" s="8" customFormat="1" ht="25.5" x14ac:dyDescent="0.2">
      <c r="A128" s="52" t="s">
        <v>118</v>
      </c>
      <c r="B128" s="43"/>
      <c r="C128" s="43"/>
      <c r="D128" s="43">
        <v>12485.01</v>
      </c>
      <c r="E128" s="43"/>
      <c r="F128" s="43"/>
      <c r="G128" s="44"/>
      <c r="H128" s="45"/>
      <c r="I128" s="58">
        <v>1198.5</v>
      </c>
      <c r="J128" s="46">
        <v>13683.76</v>
      </c>
      <c r="K128" s="43"/>
      <c r="L128" s="45"/>
      <c r="M128" s="58"/>
      <c r="N128" s="46"/>
      <c r="O128" s="43"/>
      <c r="P128" s="55"/>
      <c r="Q128" s="46"/>
      <c r="R128" s="43"/>
      <c r="S128" s="55"/>
      <c r="T128" s="55"/>
      <c r="U128" s="46"/>
    </row>
    <row r="129" spans="1:21" s="8" customFormat="1" ht="25.5" x14ac:dyDescent="0.2">
      <c r="A129" s="52" t="s">
        <v>119</v>
      </c>
      <c r="B129" s="43"/>
      <c r="C129" s="43"/>
      <c r="D129" s="43">
        <v>731.76</v>
      </c>
      <c r="E129" s="43"/>
      <c r="F129" s="43"/>
      <c r="G129" s="44"/>
      <c r="H129" s="45"/>
      <c r="I129" s="58">
        <v>11.66</v>
      </c>
      <c r="J129" s="46"/>
      <c r="K129" s="43"/>
      <c r="L129" s="45"/>
      <c r="M129" s="58"/>
      <c r="N129" s="46">
        <v>743.42</v>
      </c>
      <c r="O129" s="43"/>
      <c r="P129" s="55"/>
      <c r="Q129" s="46"/>
      <c r="R129" s="43"/>
      <c r="S129" s="55"/>
      <c r="T129" s="55"/>
      <c r="U129" s="46"/>
    </row>
    <row r="130" spans="1:21" s="8" customFormat="1" ht="25.5" x14ac:dyDescent="0.2">
      <c r="A130" s="53" t="s">
        <v>120</v>
      </c>
      <c r="B130" s="43"/>
      <c r="C130" s="43"/>
      <c r="D130" s="43">
        <v>40663.625010000003</v>
      </c>
      <c r="E130" s="43"/>
      <c r="F130" s="43"/>
      <c r="G130" s="44"/>
      <c r="H130" s="45"/>
      <c r="I130" s="58">
        <v>5605.38</v>
      </c>
      <c r="J130" s="46">
        <v>46269</v>
      </c>
      <c r="K130" s="43"/>
      <c r="L130" s="45"/>
      <c r="M130" s="58"/>
      <c r="N130" s="46"/>
      <c r="O130" s="43"/>
      <c r="P130" s="55"/>
      <c r="Q130" s="46"/>
      <c r="R130" s="43"/>
      <c r="S130" s="55"/>
      <c r="T130" s="55"/>
      <c r="U130" s="46"/>
    </row>
    <row r="131" spans="1:21" s="8" customFormat="1" ht="25.5" x14ac:dyDescent="0.2">
      <c r="A131" s="53" t="s">
        <v>121</v>
      </c>
      <c r="B131" s="43"/>
      <c r="C131" s="43"/>
      <c r="D131" s="43">
        <v>0</v>
      </c>
      <c r="E131" s="43"/>
      <c r="F131" s="43"/>
      <c r="G131" s="44"/>
      <c r="H131" s="45"/>
      <c r="I131" s="58">
        <f>29294+22500</f>
        <v>51794</v>
      </c>
      <c r="J131" s="46"/>
      <c r="K131" s="43"/>
      <c r="L131" s="45"/>
      <c r="M131" s="58"/>
      <c r="N131" s="46">
        <v>51794</v>
      </c>
      <c r="O131" s="43"/>
      <c r="P131" s="55"/>
      <c r="Q131" s="46"/>
      <c r="R131" s="43"/>
      <c r="S131" s="55"/>
      <c r="T131" s="55"/>
      <c r="U131" s="46"/>
    </row>
    <row r="132" spans="1:21" s="8" customFormat="1" ht="25.5" x14ac:dyDescent="0.2">
      <c r="A132" s="53" t="s">
        <v>122</v>
      </c>
      <c r="B132" s="43"/>
      <c r="C132" s="43"/>
      <c r="D132" s="43"/>
      <c r="E132" s="43"/>
      <c r="F132" s="43"/>
      <c r="G132" s="44"/>
      <c r="H132" s="45"/>
      <c r="I132" s="58"/>
      <c r="J132" s="46"/>
      <c r="K132" s="43"/>
      <c r="L132" s="45"/>
      <c r="M132" s="58"/>
      <c r="N132" s="46"/>
      <c r="O132" s="43"/>
      <c r="P132" s="55"/>
      <c r="Q132" s="46"/>
      <c r="R132" s="43"/>
      <c r="S132" s="55"/>
      <c r="T132" s="55"/>
      <c r="U132" s="46"/>
    </row>
    <row r="133" spans="1:21" s="8" customFormat="1" ht="25.5" x14ac:dyDescent="0.2">
      <c r="A133" s="53" t="s">
        <v>123</v>
      </c>
      <c r="B133" s="43"/>
      <c r="C133" s="43"/>
      <c r="D133" s="43"/>
      <c r="E133" s="43"/>
      <c r="F133" s="43"/>
      <c r="G133" s="44"/>
      <c r="H133" s="45"/>
      <c r="I133" s="58"/>
      <c r="J133" s="46"/>
      <c r="K133" s="43"/>
      <c r="L133" s="45"/>
      <c r="M133" s="58"/>
      <c r="N133" s="46"/>
      <c r="O133" s="43"/>
      <c r="P133" s="55"/>
      <c r="Q133" s="46"/>
      <c r="R133" s="43"/>
      <c r="S133" s="55"/>
      <c r="T133" s="55"/>
      <c r="U133" s="46"/>
    </row>
    <row r="134" spans="1:21" s="8" customFormat="1" ht="25.5" x14ac:dyDescent="0.2">
      <c r="A134" s="53" t="s">
        <v>124</v>
      </c>
      <c r="B134" s="43"/>
      <c r="C134" s="43"/>
      <c r="D134" s="43"/>
      <c r="E134" s="43"/>
      <c r="F134" s="43"/>
      <c r="G134" s="44"/>
      <c r="H134" s="45"/>
      <c r="I134" s="58"/>
      <c r="J134" s="46"/>
      <c r="K134" s="43"/>
      <c r="L134" s="45"/>
      <c r="M134" s="58"/>
      <c r="N134" s="46"/>
      <c r="O134" s="43"/>
      <c r="P134" s="55"/>
      <c r="Q134" s="46"/>
      <c r="R134" s="43"/>
      <c r="S134" s="55"/>
      <c r="T134" s="55"/>
      <c r="U134" s="46"/>
    </row>
    <row r="135" spans="1:21" s="8" customFormat="1" ht="25.5" x14ac:dyDescent="0.2">
      <c r="A135" s="53" t="s">
        <v>125</v>
      </c>
      <c r="B135" s="43"/>
      <c r="C135" s="43"/>
      <c r="D135" s="43"/>
      <c r="E135" s="43"/>
      <c r="F135" s="43"/>
      <c r="G135" s="44"/>
      <c r="H135" s="45"/>
      <c r="I135" s="58"/>
      <c r="J135" s="46"/>
      <c r="K135" s="43"/>
      <c r="L135" s="45"/>
      <c r="M135" s="58"/>
      <c r="N135" s="46"/>
      <c r="O135" s="43"/>
      <c r="P135" s="55"/>
      <c r="Q135" s="46"/>
      <c r="R135" s="43"/>
      <c r="S135" s="55"/>
      <c r="T135" s="55"/>
      <c r="U135" s="46"/>
    </row>
    <row r="136" spans="1:21" s="8" customFormat="1" ht="25.5" x14ac:dyDescent="0.2">
      <c r="A136" s="53" t="s">
        <v>126</v>
      </c>
      <c r="B136" s="43"/>
      <c r="C136" s="43"/>
      <c r="D136" s="43"/>
      <c r="E136" s="43"/>
      <c r="F136" s="43"/>
      <c r="G136" s="44"/>
      <c r="H136" s="45"/>
      <c r="I136" s="58"/>
      <c r="J136" s="46"/>
      <c r="K136" s="43"/>
      <c r="L136" s="45"/>
      <c r="M136" s="58"/>
      <c r="N136" s="46"/>
      <c r="O136" s="43"/>
      <c r="P136" s="55"/>
      <c r="Q136" s="46"/>
      <c r="R136" s="43"/>
      <c r="S136" s="55"/>
      <c r="T136" s="55"/>
      <c r="U136" s="46"/>
    </row>
    <row r="137" spans="1:21" s="8" customFormat="1" ht="38.25" x14ac:dyDescent="0.2">
      <c r="A137" s="53" t="s">
        <v>127</v>
      </c>
      <c r="B137" s="43"/>
      <c r="C137" s="43"/>
      <c r="D137" s="43"/>
      <c r="E137" s="43"/>
      <c r="F137" s="43"/>
      <c r="G137" s="44"/>
      <c r="H137" s="45"/>
      <c r="I137" s="58"/>
      <c r="J137" s="46"/>
      <c r="K137" s="43"/>
      <c r="L137" s="45"/>
      <c r="M137" s="58"/>
      <c r="N137" s="46"/>
      <c r="O137" s="43"/>
      <c r="P137" s="55"/>
      <c r="Q137" s="46"/>
      <c r="R137" s="43"/>
      <c r="S137" s="55"/>
      <c r="T137" s="55"/>
      <c r="U137" s="46"/>
    </row>
    <row r="138" spans="1:21" s="8" customFormat="1" ht="25.5" x14ac:dyDescent="0.2">
      <c r="A138" s="54" t="s">
        <v>128</v>
      </c>
      <c r="B138" s="43"/>
      <c r="C138" s="43"/>
      <c r="D138" s="43"/>
      <c r="E138" s="43"/>
      <c r="F138" s="43"/>
      <c r="G138" s="44"/>
      <c r="H138" s="45"/>
      <c r="I138" s="58"/>
      <c r="J138" s="46"/>
      <c r="K138" s="43"/>
      <c r="L138" s="45"/>
      <c r="M138" s="58"/>
      <c r="N138" s="46"/>
      <c r="O138" s="43"/>
      <c r="P138" s="55"/>
      <c r="Q138" s="46"/>
      <c r="R138" s="43"/>
      <c r="S138" s="55"/>
      <c r="T138" s="55"/>
      <c r="U138" s="46"/>
    </row>
    <row r="139" spans="1:21" s="8" customFormat="1" x14ac:dyDescent="0.2">
      <c r="A139" s="50" t="s">
        <v>129</v>
      </c>
      <c r="B139" s="43"/>
      <c r="C139" s="43"/>
      <c r="D139" s="43">
        <v>0</v>
      </c>
      <c r="E139" s="43"/>
      <c r="F139" s="43"/>
      <c r="G139" s="44"/>
      <c r="H139" s="45"/>
      <c r="I139" s="58"/>
      <c r="J139" s="46"/>
      <c r="K139" s="43"/>
      <c r="L139" s="45"/>
      <c r="M139" s="58"/>
      <c r="N139" s="46"/>
      <c r="O139" s="43"/>
      <c r="P139" s="55"/>
      <c r="Q139" s="46"/>
      <c r="R139" s="43"/>
      <c r="S139" s="55"/>
      <c r="T139" s="55"/>
      <c r="U139" s="46"/>
    </row>
    <row r="140" spans="1:21" s="8" customFormat="1" x14ac:dyDescent="0.2">
      <c r="A140" s="50" t="s">
        <v>130</v>
      </c>
      <c r="B140" s="43"/>
      <c r="C140" s="43"/>
      <c r="D140" s="43">
        <v>24827.701499999999</v>
      </c>
      <c r="E140" s="43">
        <v>24827.701499999999</v>
      </c>
      <c r="F140" s="43"/>
      <c r="G140" s="44"/>
      <c r="H140" s="45"/>
      <c r="I140" s="58"/>
      <c r="J140" s="46"/>
      <c r="K140" s="43"/>
      <c r="L140" s="45"/>
      <c r="M140" s="58"/>
      <c r="N140" s="46"/>
      <c r="O140" s="43"/>
      <c r="P140" s="55"/>
      <c r="Q140" s="46"/>
      <c r="R140" s="43"/>
      <c r="S140" s="55"/>
      <c r="T140" s="55"/>
      <c r="U140" s="46"/>
    </row>
    <row r="141" spans="1:21" s="8" customFormat="1" x14ac:dyDescent="0.2">
      <c r="A141" s="50" t="s">
        <v>131</v>
      </c>
      <c r="B141" s="43"/>
      <c r="C141" s="43"/>
      <c r="D141" s="43">
        <v>27000</v>
      </c>
      <c r="E141" s="43"/>
      <c r="F141" s="43"/>
      <c r="G141" s="44"/>
      <c r="H141" s="45"/>
      <c r="I141" s="58"/>
      <c r="J141" s="46">
        <v>27000</v>
      </c>
      <c r="K141" s="43"/>
      <c r="L141" s="45"/>
      <c r="M141" s="58"/>
      <c r="N141" s="46"/>
      <c r="O141" s="43"/>
      <c r="P141" s="55"/>
      <c r="Q141" s="46"/>
      <c r="R141" s="43"/>
      <c r="S141" s="55"/>
      <c r="T141" s="55"/>
      <c r="U141" s="46"/>
    </row>
    <row r="142" spans="1:21" s="8" customFormat="1" x14ac:dyDescent="0.2">
      <c r="A142" s="50" t="s">
        <v>132</v>
      </c>
      <c r="B142" s="43"/>
      <c r="C142" s="43"/>
      <c r="D142" s="43">
        <v>0</v>
      </c>
      <c r="E142" s="43">
        <v>24350.584500000001</v>
      </c>
      <c r="F142" s="43"/>
      <c r="G142" s="44"/>
      <c r="H142" s="45"/>
      <c r="I142" s="58"/>
      <c r="J142" s="46"/>
      <c r="K142" s="43"/>
      <c r="L142" s="45"/>
      <c r="M142" s="58"/>
      <c r="N142" s="46"/>
      <c r="O142" s="43"/>
      <c r="P142" s="55"/>
      <c r="Q142" s="46"/>
      <c r="R142" s="43"/>
      <c r="S142" s="55"/>
      <c r="T142" s="55"/>
      <c r="U142" s="46"/>
    </row>
    <row r="143" spans="1:21" s="8" customFormat="1" x14ac:dyDescent="0.2">
      <c r="A143" s="50" t="s">
        <v>133</v>
      </c>
      <c r="B143" s="43"/>
      <c r="C143" s="43"/>
      <c r="D143" s="43">
        <v>10219.720499999999</v>
      </c>
      <c r="E143" s="43"/>
      <c r="F143" s="43"/>
      <c r="G143" s="44"/>
      <c r="H143" s="45"/>
      <c r="I143" s="58"/>
      <c r="J143" s="46">
        <v>10351</v>
      </c>
      <c r="K143" s="43"/>
      <c r="L143" s="45"/>
      <c r="M143" s="58"/>
      <c r="N143" s="46"/>
      <c r="O143" s="43"/>
      <c r="P143" s="55"/>
      <c r="Q143" s="46"/>
      <c r="R143" s="43"/>
      <c r="S143" s="55"/>
      <c r="T143" s="55"/>
      <c r="U143" s="46"/>
    </row>
    <row r="144" spans="1:21" s="8" customFormat="1" x14ac:dyDescent="0.2">
      <c r="A144" s="50" t="s">
        <v>134</v>
      </c>
      <c r="B144" s="43"/>
      <c r="C144" s="43"/>
      <c r="D144" s="43">
        <v>0</v>
      </c>
      <c r="E144" s="43"/>
      <c r="F144" s="43"/>
      <c r="G144" s="44"/>
      <c r="H144" s="45"/>
      <c r="I144" s="58">
        <v>20169</v>
      </c>
      <c r="J144" s="46">
        <v>20169</v>
      </c>
      <c r="K144" s="43"/>
      <c r="L144" s="45"/>
      <c r="M144" s="58"/>
      <c r="N144" s="46"/>
      <c r="O144" s="43"/>
      <c r="P144" s="55"/>
      <c r="Q144" s="46"/>
      <c r="R144" s="43"/>
      <c r="S144" s="55"/>
      <c r="T144" s="55"/>
      <c r="U144" s="46"/>
    </row>
    <row r="145" spans="1:21" s="8" customFormat="1" ht="38.25" x14ac:dyDescent="0.2">
      <c r="A145" s="54" t="s">
        <v>135</v>
      </c>
      <c r="B145" s="43"/>
      <c r="C145" s="43"/>
      <c r="D145" s="43"/>
      <c r="E145" s="43"/>
      <c r="F145" s="43"/>
      <c r="G145" s="44"/>
      <c r="H145" s="45"/>
      <c r="I145" s="58"/>
      <c r="J145" s="46"/>
      <c r="K145" s="43"/>
      <c r="L145" s="45"/>
      <c r="M145" s="58"/>
      <c r="N145" s="46"/>
      <c r="O145" s="43"/>
      <c r="P145" s="55"/>
      <c r="Q145" s="46"/>
      <c r="R145" s="43"/>
      <c r="S145" s="55"/>
      <c r="T145" s="55"/>
      <c r="U145" s="46"/>
    </row>
    <row r="146" spans="1:21" s="8" customFormat="1" x14ac:dyDescent="0.2">
      <c r="A146" s="50" t="s">
        <v>130</v>
      </c>
      <c r="B146" s="43"/>
      <c r="C146" s="43"/>
      <c r="D146" s="43">
        <v>2471.8014000000003</v>
      </c>
      <c r="E146" s="43"/>
      <c r="F146" s="43"/>
      <c r="G146" s="44"/>
      <c r="H146" s="45"/>
      <c r="I146" s="58">
        <v>5194.21</v>
      </c>
      <c r="J146" s="46">
        <v>7666</v>
      </c>
      <c r="K146" s="43"/>
      <c r="L146" s="45"/>
      <c r="M146" s="58"/>
      <c r="N146" s="46"/>
      <c r="O146" s="43"/>
      <c r="P146" s="55"/>
      <c r="Q146" s="46"/>
      <c r="R146" s="43"/>
      <c r="S146" s="55"/>
      <c r="T146" s="55"/>
      <c r="U146" s="46"/>
    </row>
    <row r="147" spans="1:21" s="8" customFormat="1" x14ac:dyDescent="0.2">
      <c r="A147" s="50" t="s">
        <v>131</v>
      </c>
      <c r="B147" s="43"/>
      <c r="C147" s="43"/>
      <c r="D147" s="43">
        <v>5671.7503100000004</v>
      </c>
      <c r="E147" s="43"/>
      <c r="F147" s="43"/>
      <c r="G147" s="44"/>
      <c r="H147" s="45"/>
      <c r="I147" s="58">
        <v>5562.25</v>
      </c>
      <c r="J147" s="46">
        <v>11234</v>
      </c>
      <c r="K147" s="43"/>
      <c r="L147" s="45"/>
      <c r="M147" s="58"/>
      <c r="N147" s="46"/>
      <c r="O147" s="43"/>
      <c r="P147" s="55"/>
      <c r="Q147" s="46"/>
      <c r="R147" s="43"/>
      <c r="S147" s="55"/>
      <c r="T147" s="55"/>
      <c r="U147" s="46"/>
    </row>
    <row r="148" spans="1:21" s="8" customFormat="1" x14ac:dyDescent="0.2">
      <c r="A148" s="50" t="s">
        <v>132</v>
      </c>
      <c r="B148" s="43"/>
      <c r="C148" s="43"/>
      <c r="D148" s="43">
        <v>6694.4742200000001</v>
      </c>
      <c r="E148" s="43">
        <v>1111.8689999999999</v>
      </c>
      <c r="F148" s="43"/>
      <c r="G148" s="44"/>
      <c r="H148" s="45"/>
      <c r="I148" s="58">
        <v>3739.5</v>
      </c>
      <c r="J148" s="46">
        <v>9432</v>
      </c>
      <c r="K148" s="43"/>
      <c r="L148" s="45"/>
      <c r="M148" s="58"/>
      <c r="N148" s="46"/>
      <c r="O148" s="43"/>
      <c r="P148" s="55"/>
      <c r="Q148" s="46"/>
      <c r="R148" s="43"/>
      <c r="S148" s="55"/>
      <c r="T148" s="55"/>
      <c r="U148" s="46"/>
    </row>
    <row r="149" spans="1:21" s="8" customFormat="1" x14ac:dyDescent="0.2">
      <c r="A149" s="50" t="s">
        <v>133</v>
      </c>
      <c r="B149" s="43"/>
      <c r="C149" s="43"/>
      <c r="D149" s="43">
        <v>59.442999999999998</v>
      </c>
      <c r="E149" s="43"/>
      <c r="F149" s="43"/>
      <c r="G149" s="44"/>
      <c r="H149" s="45"/>
      <c r="I149" s="58">
        <v>8361.56</v>
      </c>
      <c r="J149" s="46">
        <v>8421</v>
      </c>
      <c r="K149" s="43"/>
      <c r="L149" s="45"/>
      <c r="M149" s="58"/>
      <c r="N149" s="46"/>
      <c r="O149" s="43"/>
      <c r="P149" s="55"/>
      <c r="Q149" s="46"/>
      <c r="R149" s="43"/>
      <c r="S149" s="55"/>
      <c r="T149" s="55"/>
      <c r="U149" s="46"/>
    </row>
    <row r="150" spans="1:21" s="8" customFormat="1" x14ac:dyDescent="0.2">
      <c r="A150" s="50" t="s">
        <v>134</v>
      </c>
      <c r="B150" s="43"/>
      <c r="C150" s="43"/>
      <c r="D150" s="43">
        <v>0</v>
      </c>
      <c r="E150" s="43"/>
      <c r="F150" s="43"/>
      <c r="G150" s="44"/>
      <c r="H150" s="45"/>
      <c r="I150" s="58">
        <v>9873</v>
      </c>
      <c r="J150" s="46">
        <v>9873</v>
      </c>
      <c r="K150" s="43"/>
      <c r="L150" s="45"/>
      <c r="M150" s="58"/>
      <c r="N150" s="46"/>
      <c r="O150" s="43"/>
      <c r="P150" s="55"/>
      <c r="Q150" s="46"/>
      <c r="R150" s="43"/>
      <c r="S150" s="55"/>
      <c r="T150" s="55"/>
      <c r="U150" s="46"/>
    </row>
    <row r="151" spans="1:21" s="8" customFormat="1" ht="25.5" x14ac:dyDescent="0.2">
      <c r="A151" s="53" t="s">
        <v>136</v>
      </c>
      <c r="B151" s="43"/>
      <c r="C151" s="43"/>
      <c r="D151" s="43">
        <v>13583.414140000001</v>
      </c>
      <c r="E151" s="43"/>
      <c r="F151" s="43"/>
      <c r="G151" s="44"/>
      <c r="H151" s="45"/>
      <c r="I151" s="58">
        <f>3516.58-3516.58</f>
        <v>0</v>
      </c>
      <c r="J151" s="46">
        <f>17100-3516.58</f>
        <v>13583.42</v>
      </c>
      <c r="K151" s="43"/>
      <c r="L151" s="45"/>
      <c r="M151" s="58"/>
      <c r="N151" s="46"/>
      <c r="O151" s="43"/>
      <c r="P151" s="55"/>
      <c r="Q151" s="46"/>
      <c r="R151" s="43"/>
      <c r="S151" s="55"/>
      <c r="T151" s="55"/>
      <c r="U151" s="46"/>
    </row>
    <row r="152" spans="1:21" s="8" customFormat="1" ht="25.5" x14ac:dyDescent="0.2">
      <c r="A152" s="53" t="s">
        <v>153</v>
      </c>
      <c r="B152" s="43"/>
      <c r="C152" s="43"/>
      <c r="D152" s="43"/>
      <c r="E152" s="43"/>
      <c r="F152" s="43"/>
      <c r="G152" s="44"/>
      <c r="H152" s="45"/>
      <c r="I152" s="58">
        <v>5053.58</v>
      </c>
      <c r="J152" s="46"/>
      <c r="K152" s="43"/>
      <c r="L152" s="45"/>
      <c r="M152" s="58"/>
      <c r="N152" s="58">
        <v>5053.5730000000003</v>
      </c>
      <c r="O152" s="43"/>
      <c r="P152" s="55"/>
      <c r="Q152" s="46"/>
      <c r="R152" s="43"/>
      <c r="S152" s="55"/>
      <c r="T152" s="55"/>
      <c r="U152" s="46"/>
    </row>
    <row r="153" spans="1:21" s="8" customFormat="1" ht="25.5" x14ac:dyDescent="0.2">
      <c r="A153" s="53" t="s">
        <v>154</v>
      </c>
      <c r="B153" s="43"/>
      <c r="C153" s="43"/>
      <c r="D153" s="43"/>
      <c r="E153" s="43"/>
      <c r="F153" s="43"/>
      <c r="G153" s="44"/>
      <c r="H153" s="45"/>
      <c r="I153" s="58">
        <v>5071.6099999999997</v>
      </c>
      <c r="J153" s="46"/>
      <c r="K153" s="43"/>
      <c r="L153" s="45"/>
      <c r="M153" s="58"/>
      <c r="N153" s="58">
        <v>5071.6019999999999</v>
      </c>
      <c r="O153" s="43"/>
      <c r="P153" s="55"/>
      <c r="Q153" s="46"/>
      <c r="R153" s="43"/>
      <c r="S153" s="55"/>
      <c r="T153" s="55"/>
      <c r="U153" s="46"/>
    </row>
    <row r="154" spans="1:21" s="8" customFormat="1" ht="42.75" customHeight="1" x14ac:dyDescent="0.2">
      <c r="A154" s="100" t="s">
        <v>162</v>
      </c>
      <c r="B154" s="43"/>
      <c r="C154" s="43"/>
      <c r="D154" s="43"/>
      <c r="E154" s="43"/>
      <c r="F154" s="43"/>
      <c r="G154" s="44"/>
      <c r="H154" s="45"/>
      <c r="I154" s="58"/>
      <c r="J154" s="46"/>
      <c r="K154" s="43"/>
      <c r="L154" s="45"/>
      <c r="M154" s="96">
        <v>2307.08</v>
      </c>
      <c r="N154" s="58"/>
      <c r="O154" s="43"/>
      <c r="P154" s="55"/>
      <c r="Q154" s="96">
        <v>2307.08</v>
      </c>
      <c r="R154" s="43"/>
      <c r="S154" s="55"/>
      <c r="T154" s="55"/>
      <c r="U154" s="46"/>
    </row>
    <row r="155" spans="1:21" s="8" customFormat="1" ht="42.75" customHeight="1" x14ac:dyDescent="0.2">
      <c r="A155" s="100" t="s">
        <v>164</v>
      </c>
      <c r="B155" s="43"/>
      <c r="C155" s="43"/>
      <c r="D155" s="43"/>
      <c r="E155" s="43"/>
      <c r="F155" s="43"/>
      <c r="G155" s="44"/>
      <c r="H155" s="45"/>
      <c r="I155" s="58"/>
      <c r="J155" s="46"/>
      <c r="K155" s="43"/>
      <c r="L155" s="45"/>
      <c r="M155" s="96">
        <v>3969.08</v>
      </c>
      <c r="N155" s="58"/>
      <c r="O155" s="43"/>
      <c r="P155" s="55"/>
      <c r="Q155" s="96">
        <v>3969.08</v>
      </c>
      <c r="R155" s="43"/>
      <c r="S155" s="55"/>
      <c r="T155" s="55"/>
      <c r="U155" s="46"/>
    </row>
    <row r="156" spans="1:21" s="8" customFormat="1" ht="42.75" customHeight="1" x14ac:dyDescent="0.2">
      <c r="A156" s="100" t="s">
        <v>163</v>
      </c>
      <c r="B156" s="43"/>
      <c r="C156" s="43"/>
      <c r="D156" s="43"/>
      <c r="E156" s="43"/>
      <c r="F156" s="43"/>
      <c r="G156" s="44"/>
      <c r="H156" s="45"/>
      <c r="I156" s="58"/>
      <c r="J156" s="46"/>
      <c r="K156" s="43"/>
      <c r="L156" s="45"/>
      <c r="M156" s="96">
        <v>19490.73</v>
      </c>
      <c r="N156" s="58"/>
      <c r="O156" s="43"/>
      <c r="P156" s="55"/>
      <c r="Q156" s="96">
        <v>19490.73</v>
      </c>
      <c r="R156" s="43"/>
      <c r="S156" s="55"/>
      <c r="T156" s="55"/>
      <c r="U156" s="46"/>
    </row>
    <row r="157" spans="1:21" s="8" customFormat="1" x14ac:dyDescent="0.2">
      <c r="A157" s="107" t="s">
        <v>168</v>
      </c>
      <c r="B157" s="43"/>
      <c r="C157" s="43"/>
      <c r="D157" s="43"/>
      <c r="E157" s="43"/>
      <c r="F157" s="43"/>
      <c r="G157" s="44"/>
      <c r="H157" s="45"/>
      <c r="I157" s="58"/>
      <c r="J157" s="46"/>
      <c r="K157" s="43"/>
      <c r="L157" s="45"/>
      <c r="M157" s="58"/>
      <c r="N157" s="58"/>
      <c r="O157" s="43"/>
      <c r="P157" s="55"/>
      <c r="Q157" s="46"/>
      <c r="R157" s="43"/>
      <c r="S157" s="55"/>
      <c r="T157" s="55"/>
      <c r="U157" s="46"/>
    </row>
    <row r="158" spans="1:21" s="8" customFormat="1" x14ac:dyDescent="0.2">
      <c r="A158" s="53" t="s">
        <v>169</v>
      </c>
      <c r="B158" s="43"/>
      <c r="C158" s="43"/>
      <c r="D158" s="43"/>
      <c r="E158" s="43"/>
      <c r="F158" s="43"/>
      <c r="G158" s="44"/>
      <c r="H158" s="58">
        <v>0</v>
      </c>
      <c r="I158" s="58"/>
      <c r="J158" s="46"/>
      <c r="K158" s="43"/>
      <c r="L158" s="58">
        <v>24926</v>
      </c>
      <c r="M158" s="58"/>
      <c r="N158" s="58"/>
      <c r="O158" s="55">
        <v>5600</v>
      </c>
      <c r="P158" s="55"/>
      <c r="Q158" s="46"/>
      <c r="R158" s="46"/>
      <c r="S158" s="55"/>
      <c r="T158" s="55"/>
      <c r="U158" s="46"/>
    </row>
    <row r="159" spans="1:21" s="8" customFormat="1" x14ac:dyDescent="0.2">
      <c r="A159" s="53" t="s">
        <v>170</v>
      </c>
      <c r="B159" s="43"/>
      <c r="C159" s="43"/>
      <c r="D159" s="43"/>
      <c r="E159" s="43"/>
      <c r="F159" s="43"/>
      <c r="G159" s="44"/>
      <c r="H159" s="58">
        <v>100079</v>
      </c>
      <c r="I159" s="58"/>
      <c r="J159" s="46"/>
      <c r="K159" s="43"/>
      <c r="L159" s="58">
        <v>99900</v>
      </c>
      <c r="M159" s="58"/>
      <c r="N159" s="58"/>
      <c r="O159" s="55">
        <v>5000</v>
      </c>
      <c r="P159" s="55"/>
      <c r="Q159" s="46"/>
      <c r="R159" s="46"/>
      <c r="S159" s="55"/>
      <c r="T159" s="55"/>
      <c r="U159" s="46"/>
    </row>
    <row r="160" spans="1:21" s="8" customFormat="1" x14ac:dyDescent="0.2">
      <c r="A160" s="53" t="s">
        <v>171</v>
      </c>
      <c r="B160" s="43"/>
      <c r="C160" s="43"/>
      <c r="D160" s="43"/>
      <c r="E160" s="43"/>
      <c r="F160" s="43"/>
      <c r="G160" s="44"/>
      <c r="H160" s="58">
        <v>3064</v>
      </c>
      <c r="I160" s="58"/>
      <c r="J160" s="46"/>
      <c r="K160" s="43"/>
      <c r="L160" s="58">
        <v>305361</v>
      </c>
      <c r="M160" s="58"/>
      <c r="N160" s="58"/>
      <c r="O160" s="55">
        <v>0</v>
      </c>
      <c r="P160" s="55"/>
      <c r="Q160" s="46"/>
      <c r="R160" s="46"/>
      <c r="S160" s="55"/>
      <c r="T160" s="55"/>
      <c r="U160" s="46"/>
    </row>
    <row r="161" spans="1:21" s="8" customFormat="1" x14ac:dyDescent="0.2">
      <c r="A161" s="53" t="s">
        <v>172</v>
      </c>
      <c r="B161" s="43"/>
      <c r="C161" s="43"/>
      <c r="D161" s="43"/>
      <c r="E161" s="43"/>
      <c r="F161" s="43"/>
      <c r="G161" s="44"/>
      <c r="H161" s="58">
        <v>77321</v>
      </c>
      <c r="I161" s="58"/>
      <c r="J161" s="46"/>
      <c r="K161" s="43"/>
      <c r="L161" s="58">
        <v>110650</v>
      </c>
      <c r="M161" s="58"/>
      <c r="N161" s="58"/>
      <c r="O161" s="55">
        <v>80000</v>
      </c>
      <c r="P161" s="55"/>
      <c r="Q161" s="46"/>
      <c r="R161" s="46"/>
      <c r="S161" s="55"/>
      <c r="T161" s="55"/>
      <c r="U161" s="46"/>
    </row>
    <row r="162" spans="1:21" s="8" customFormat="1" x14ac:dyDescent="0.2">
      <c r="A162" s="53" t="s">
        <v>173</v>
      </c>
      <c r="B162" s="43"/>
      <c r="C162" s="43"/>
      <c r="D162" s="43"/>
      <c r="E162" s="43"/>
      <c r="F162" s="43"/>
      <c r="G162" s="44"/>
      <c r="H162" s="58">
        <v>31886.7</v>
      </c>
      <c r="I162" s="58"/>
      <c r="J162" s="46"/>
      <c r="K162" s="43"/>
      <c r="L162" s="58">
        <v>120184.2</v>
      </c>
      <c r="M162" s="58"/>
      <c r="N162" s="58"/>
      <c r="O162" s="55">
        <v>38200</v>
      </c>
      <c r="P162" s="55"/>
      <c r="Q162" s="46"/>
      <c r="R162" s="46"/>
      <c r="S162" s="55"/>
      <c r="T162" s="55"/>
      <c r="U162" s="46"/>
    </row>
    <row r="163" spans="1:21" s="8" customFormat="1" x14ac:dyDescent="0.2">
      <c r="A163" s="53" t="s">
        <v>174</v>
      </c>
      <c r="B163" s="43"/>
      <c r="C163" s="43"/>
      <c r="D163" s="43"/>
      <c r="E163" s="43"/>
      <c r="F163" s="43"/>
      <c r="G163" s="44"/>
      <c r="H163" s="58">
        <v>94775</v>
      </c>
      <c r="I163" s="58"/>
      <c r="J163" s="46"/>
      <c r="K163" s="43"/>
      <c r="L163" s="58">
        <v>195375.26500000001</v>
      </c>
      <c r="M163" s="58"/>
      <c r="N163" s="58"/>
      <c r="O163" s="55">
        <v>41980</v>
      </c>
      <c r="P163" s="55"/>
      <c r="Q163" s="46"/>
      <c r="R163" s="46"/>
      <c r="S163" s="55"/>
      <c r="T163" s="55"/>
      <c r="U163" s="46"/>
    </row>
    <row r="164" spans="1:21" s="8" customFormat="1" x14ac:dyDescent="0.2">
      <c r="A164" s="53" t="s">
        <v>175</v>
      </c>
      <c r="B164" s="43"/>
      <c r="C164" s="43"/>
      <c r="D164" s="43"/>
      <c r="E164" s="43"/>
      <c r="F164" s="43"/>
      <c r="G164" s="44"/>
      <c r="H164" s="58">
        <v>41932.316560000007</v>
      </c>
      <c r="I164" s="58"/>
      <c r="J164" s="46"/>
      <c r="K164" s="43"/>
      <c r="L164" s="58">
        <v>40572.828000000009</v>
      </c>
      <c r="M164" s="58"/>
      <c r="N164" s="58"/>
      <c r="O164" s="55">
        <v>62651.048999999999</v>
      </c>
      <c r="P164" s="55"/>
      <c r="Q164" s="46"/>
      <c r="R164" s="46"/>
      <c r="S164" s="55"/>
      <c r="T164" s="55"/>
      <c r="U164" s="46"/>
    </row>
    <row r="165" spans="1:21" s="8" customFormat="1" x14ac:dyDescent="0.2">
      <c r="A165" s="53" t="s">
        <v>176</v>
      </c>
      <c r="B165" s="43"/>
      <c r="C165" s="43"/>
      <c r="D165" s="43"/>
      <c r="E165" s="43"/>
      <c r="F165" s="43"/>
      <c r="G165" s="44"/>
      <c r="H165" s="58">
        <v>0</v>
      </c>
      <c r="I165" s="58"/>
      <c r="J165" s="46"/>
      <c r="K165" s="43"/>
      <c r="L165" s="58">
        <v>0</v>
      </c>
      <c r="M165" s="58"/>
      <c r="N165" s="58"/>
      <c r="O165" s="55">
        <v>0</v>
      </c>
      <c r="P165" s="55"/>
      <c r="Q165" s="46"/>
      <c r="R165" s="46"/>
      <c r="S165" s="55"/>
      <c r="T165" s="55"/>
      <c r="U165" s="46"/>
    </row>
    <row r="166" spans="1:21" s="8" customFormat="1" x14ac:dyDescent="0.2">
      <c r="A166" s="53" t="s">
        <v>177</v>
      </c>
      <c r="B166" s="43"/>
      <c r="C166" s="43"/>
      <c r="D166" s="43"/>
      <c r="E166" s="43"/>
      <c r="F166" s="43"/>
      <c r="G166" s="44"/>
      <c r="H166" s="58">
        <v>42290</v>
      </c>
      <c r="I166" s="58"/>
      <c r="J166" s="46"/>
      <c r="K166" s="43"/>
      <c r="L166" s="58">
        <v>3370</v>
      </c>
      <c r="M166" s="58"/>
      <c r="N166" s="58"/>
      <c r="O166" s="55">
        <v>11600</v>
      </c>
      <c r="P166" s="55"/>
      <c r="Q166" s="46"/>
      <c r="R166" s="46"/>
      <c r="S166" s="55"/>
      <c r="T166" s="55"/>
      <c r="U166" s="46"/>
    </row>
    <row r="167" spans="1:21" s="8" customFormat="1" x14ac:dyDescent="0.2">
      <c r="A167" s="53" t="s">
        <v>178</v>
      </c>
      <c r="B167" s="43"/>
      <c r="C167" s="43"/>
      <c r="D167" s="43"/>
      <c r="E167" s="43"/>
      <c r="F167" s="43"/>
      <c r="G167" s="44"/>
      <c r="H167" s="58">
        <v>442</v>
      </c>
      <c r="I167" s="58"/>
      <c r="J167" s="46"/>
      <c r="K167" s="43"/>
      <c r="L167" s="58">
        <v>71415.120999999999</v>
      </c>
      <c r="M167" s="58"/>
      <c r="N167" s="58"/>
      <c r="O167" s="55">
        <v>22987</v>
      </c>
      <c r="P167" s="55"/>
      <c r="Q167" s="46"/>
      <c r="R167" s="46"/>
      <c r="S167" s="55"/>
      <c r="T167" s="55"/>
      <c r="U167" s="46"/>
    </row>
    <row r="168" spans="1:21" s="8" customFormat="1" x14ac:dyDescent="0.2">
      <c r="A168" s="53"/>
      <c r="B168" s="43"/>
      <c r="C168" s="43"/>
      <c r="D168" s="43"/>
      <c r="E168" s="43"/>
      <c r="F168" s="43"/>
      <c r="G168" s="44"/>
      <c r="H168" s="45"/>
      <c r="I168" s="58"/>
      <c r="J168" s="46"/>
      <c r="K168" s="43"/>
      <c r="L168" s="45"/>
      <c r="M168" s="58"/>
      <c r="N168" s="58"/>
      <c r="O168" s="43"/>
      <c r="P168" s="55"/>
      <c r="Q168" s="46"/>
      <c r="R168" s="43"/>
      <c r="S168" s="55"/>
      <c r="T168" s="55"/>
      <c r="U168" s="46"/>
    </row>
    <row r="169" spans="1:21" s="8" customFormat="1" x14ac:dyDescent="0.2">
      <c r="A169" s="17" t="s">
        <v>138</v>
      </c>
      <c r="B169" s="25">
        <f>SUM(B126:B156)</f>
        <v>0</v>
      </c>
      <c r="C169" s="25">
        <f t="shared" ref="C169" si="10">SUM(C126:C156)</f>
        <v>0</v>
      </c>
      <c r="D169" s="25">
        <f>SUM(D126:D167)</f>
        <v>148609.02007999999</v>
      </c>
      <c r="E169" s="25">
        <f t="shared" ref="E169:U169" si="11">SUM(E126:E167)</f>
        <v>50290.154999999999</v>
      </c>
      <c r="F169" s="25">
        <f t="shared" si="11"/>
        <v>0</v>
      </c>
      <c r="G169" s="25">
        <f t="shared" si="11"/>
        <v>0</v>
      </c>
      <c r="H169" s="25">
        <f t="shared" si="11"/>
        <v>391790.01656000002</v>
      </c>
      <c r="I169" s="25">
        <f t="shared" si="11"/>
        <v>121634.25000000001</v>
      </c>
      <c r="J169" s="25">
        <f t="shared" si="11"/>
        <v>183036.73</v>
      </c>
      <c r="K169" s="25">
        <f t="shared" si="11"/>
        <v>0</v>
      </c>
      <c r="L169" s="25">
        <f>SUM(L126:L167)</f>
        <v>971754.41399999999</v>
      </c>
      <c r="M169" s="25">
        <f t="shared" si="11"/>
        <v>25766.89</v>
      </c>
      <c r="N169" s="25">
        <f t="shared" si="11"/>
        <v>62662.595000000001</v>
      </c>
      <c r="O169" s="25">
        <f t="shared" si="11"/>
        <v>268018.049</v>
      </c>
      <c r="P169" s="25">
        <f t="shared" si="11"/>
        <v>0</v>
      </c>
      <c r="Q169" s="25">
        <f t="shared" si="11"/>
        <v>25766.89</v>
      </c>
      <c r="R169" s="25">
        <f t="shared" si="11"/>
        <v>0</v>
      </c>
      <c r="S169" s="25">
        <f t="shared" si="11"/>
        <v>0</v>
      </c>
      <c r="T169" s="25">
        <f t="shared" si="11"/>
        <v>0</v>
      </c>
      <c r="U169" s="25">
        <f t="shared" si="11"/>
        <v>0</v>
      </c>
    </row>
    <row r="170" spans="1:21" s="8" customFormat="1" x14ac:dyDescent="0.2">
      <c r="A170" s="2"/>
      <c r="B170" s="29"/>
      <c r="C170" s="29"/>
      <c r="D170" s="29"/>
      <c r="E170" s="29"/>
      <c r="F170" s="29"/>
      <c r="G170" s="3"/>
      <c r="H170" s="3"/>
      <c r="I170" s="3"/>
      <c r="J170" s="64"/>
      <c r="K170" s="29"/>
      <c r="L170" s="3"/>
      <c r="M170" s="3"/>
      <c r="N170" s="30"/>
      <c r="O170" s="29"/>
      <c r="P170" s="3"/>
      <c r="Q170" s="30"/>
      <c r="R170" s="29"/>
      <c r="S170" s="3"/>
      <c r="T170" s="3"/>
      <c r="U170" s="30"/>
    </row>
    <row r="171" spans="1:21" s="8" customFormat="1" ht="13.5" thickBot="1" x14ac:dyDescent="0.25">
      <c r="A171" s="13" t="s">
        <v>6</v>
      </c>
      <c r="B171" s="48">
        <v>0</v>
      </c>
      <c r="C171" s="48">
        <v>484254.09123000002</v>
      </c>
      <c r="D171" s="48">
        <f t="shared" ref="D171:U171" si="12">SUM(D169,D123,D121,D116,D113,D103,D62,D49,D34)</f>
        <v>460897.52007999999</v>
      </c>
      <c r="E171" s="48">
        <f t="shared" si="12"/>
        <v>382266.45500000002</v>
      </c>
      <c r="F171" s="48">
        <f t="shared" si="12"/>
        <v>199479.2</v>
      </c>
      <c r="G171" s="48">
        <f t="shared" si="12"/>
        <v>0</v>
      </c>
      <c r="H171" s="48">
        <f t="shared" si="12"/>
        <v>1122030.0165599999</v>
      </c>
      <c r="I171" s="48">
        <f t="shared" si="12"/>
        <v>809988.52</v>
      </c>
      <c r="J171" s="48">
        <f t="shared" si="12"/>
        <v>767303.78</v>
      </c>
      <c r="K171" s="48">
        <f t="shared" si="12"/>
        <v>0</v>
      </c>
      <c r="L171" s="48">
        <f t="shared" si="12"/>
        <v>1990003.4139999999</v>
      </c>
      <c r="M171" s="48">
        <f t="shared" si="12"/>
        <v>945094.47</v>
      </c>
      <c r="N171" s="48">
        <f t="shared" si="12"/>
        <v>790900.58499999996</v>
      </c>
      <c r="O171" s="48">
        <f t="shared" si="12"/>
        <v>739246.049</v>
      </c>
      <c r="P171" s="48">
        <f t="shared" si="12"/>
        <v>806154</v>
      </c>
      <c r="Q171" s="48">
        <f t="shared" si="12"/>
        <v>1439281.8900000001</v>
      </c>
      <c r="R171" s="48">
        <f t="shared" si="12"/>
        <v>671044</v>
      </c>
      <c r="S171" s="48">
        <f t="shared" si="12"/>
        <v>0</v>
      </c>
      <c r="T171" s="48">
        <f t="shared" si="12"/>
        <v>0</v>
      </c>
      <c r="U171" s="48">
        <f t="shared" si="12"/>
        <v>125615</v>
      </c>
    </row>
    <row r="173" spans="1:21" s="14" customFormat="1" x14ac:dyDescent="0.2">
      <c r="A173" s="4"/>
      <c r="B173" s="4">
        <v>2019</v>
      </c>
      <c r="C173" s="4">
        <v>2020</v>
      </c>
      <c r="D173" s="4">
        <v>2021</v>
      </c>
      <c r="E173" s="4">
        <v>2022</v>
      </c>
      <c r="F173" s="4">
        <v>2023</v>
      </c>
      <c r="G173" s="4">
        <v>2024</v>
      </c>
      <c r="H173" s="4" t="s">
        <v>146</v>
      </c>
    </row>
    <row r="174" spans="1:21" s="14" customFormat="1" x14ac:dyDescent="0.2">
      <c r="A174" s="49" t="s">
        <v>33</v>
      </c>
      <c r="B174" s="10"/>
      <c r="C174" s="10"/>
      <c r="D174" s="10">
        <f>F171</f>
        <v>199479.2</v>
      </c>
      <c r="E174" s="10"/>
      <c r="F174" s="10"/>
      <c r="G174" s="10"/>
      <c r="H174" s="10">
        <f>SUM(B174:G174)</f>
        <v>199479.2</v>
      </c>
    </row>
    <row r="175" spans="1:21" s="14" customFormat="1" x14ac:dyDescent="0.2">
      <c r="A175" s="49" t="s">
        <v>152</v>
      </c>
      <c r="B175" s="10"/>
      <c r="C175" s="10"/>
      <c r="D175" s="10">
        <f>H171</f>
        <v>1122030.0165599999</v>
      </c>
      <c r="E175" s="10">
        <f>L171</f>
        <v>1990003.4139999999</v>
      </c>
      <c r="F175" s="10">
        <f>O171</f>
        <v>739246.049</v>
      </c>
      <c r="G175" s="10">
        <f>R171</f>
        <v>671044</v>
      </c>
      <c r="H175" s="10">
        <f t="shared" ref="H175:H177" si="13">SUM(B175:G175)</f>
        <v>4522323.4795599999</v>
      </c>
      <c r="I175" s="88">
        <f>H175-3000000</f>
        <v>1522323.4795599999</v>
      </c>
    </row>
    <row r="176" spans="1:21" s="14" customFormat="1" ht="13.5" thickBot="1" x14ac:dyDescent="0.25">
      <c r="A176" s="76"/>
      <c r="B176" s="77"/>
      <c r="C176" s="77"/>
      <c r="D176" s="77"/>
      <c r="E176" s="109">
        <f>D175+E175</f>
        <v>3112033.4305599998</v>
      </c>
      <c r="F176" s="109">
        <f>E176+F175</f>
        <v>3851279.4795599999</v>
      </c>
      <c r="G176" s="109">
        <f>F176+G175</f>
        <v>4522323.4795599999</v>
      </c>
      <c r="H176" s="77"/>
    </row>
    <row r="177" spans="1:9" s="14" customFormat="1" x14ac:dyDescent="0.2">
      <c r="A177" s="78" t="s">
        <v>145</v>
      </c>
      <c r="B177" s="79">
        <f>C171</f>
        <v>484254.09123000002</v>
      </c>
      <c r="C177" s="79">
        <f>D171</f>
        <v>460897.52007999999</v>
      </c>
      <c r="D177" s="79">
        <f>G171+I171</f>
        <v>809988.52</v>
      </c>
      <c r="E177" s="79">
        <f>M171</f>
        <v>945094.47</v>
      </c>
      <c r="F177" s="79">
        <f>P171</f>
        <v>806154</v>
      </c>
      <c r="G177" s="79">
        <f>T171</f>
        <v>0</v>
      </c>
      <c r="H177" s="80">
        <f t="shared" si="13"/>
        <v>3506388.6013099998</v>
      </c>
    </row>
    <row r="178" spans="1:9" s="14" customFormat="1" x14ac:dyDescent="0.2">
      <c r="A178" s="81" t="s">
        <v>141</v>
      </c>
      <c r="B178" s="10"/>
      <c r="C178" s="10">
        <f>E171</f>
        <v>382266.45500000002</v>
      </c>
      <c r="D178" s="10">
        <f>J171</f>
        <v>767303.78</v>
      </c>
      <c r="E178" s="10">
        <f>N171</f>
        <v>790900.58499999996</v>
      </c>
      <c r="F178" s="10">
        <f>Q171</f>
        <v>1439281.8900000001</v>
      </c>
      <c r="G178" s="10">
        <f>U171+S124</f>
        <v>125615</v>
      </c>
      <c r="H178" s="82">
        <f>SUM(B178:G178)</f>
        <v>3505367.71</v>
      </c>
      <c r="I178" s="14">
        <f>H177-H178</f>
        <v>1020.8913099998608</v>
      </c>
    </row>
    <row r="179" spans="1:9" s="14" customFormat="1" ht="13.5" thickBot="1" x14ac:dyDescent="0.25">
      <c r="A179" s="83" t="s">
        <v>150</v>
      </c>
      <c r="B179" s="84"/>
      <c r="C179" s="85">
        <f>B177+C177-C178</f>
        <v>562885.15630999999</v>
      </c>
      <c r="D179" s="85">
        <f>C179+D177-D178</f>
        <v>605569.89630999998</v>
      </c>
      <c r="E179" s="85">
        <f>D179+E177-E178</f>
        <v>759763.78130999999</v>
      </c>
      <c r="F179" s="85">
        <f t="shared" ref="F179:G179" si="14">E179+F177-F178</f>
        <v>126635.89130999986</v>
      </c>
      <c r="G179" s="85">
        <f t="shared" si="14"/>
        <v>1020.8913099998608</v>
      </c>
      <c r="H179" s="86"/>
    </row>
  </sheetData>
  <autoFilter ref="A1:U116" xr:uid="{4ABA3BC3-8023-4B4C-A20D-DE4822BA870B}"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5">
    <mergeCell ref="A1:A2"/>
    <mergeCell ref="F1:J1"/>
    <mergeCell ref="K1:N1"/>
    <mergeCell ref="O1:Q1"/>
    <mergeCell ref="R1:U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B5B46-4EE0-4965-A0E8-7295EF6D0A40}">
  <sheetPr>
    <tabColor rgb="FFFF0000"/>
  </sheetPr>
  <dimension ref="A1:U179"/>
  <sheetViews>
    <sheetView workbookViewId="0">
      <selection sqref="A1:A2"/>
    </sheetView>
  </sheetViews>
  <sheetFormatPr defaultColWidth="9.140625" defaultRowHeight="12.75" x14ac:dyDescent="0.2"/>
  <cols>
    <col min="1" max="1" width="52.42578125" style="4" customWidth="1"/>
    <col min="2" max="21" width="14.7109375" style="14" customWidth="1"/>
    <col min="22" max="16384" width="9.140625" style="4"/>
  </cols>
  <sheetData>
    <row r="1" spans="1:21" ht="21" customHeight="1" x14ac:dyDescent="0.2">
      <c r="A1" s="372" t="s">
        <v>0</v>
      </c>
      <c r="B1" s="71">
        <v>2018</v>
      </c>
      <c r="C1" s="71" t="s">
        <v>149</v>
      </c>
      <c r="D1" s="71" t="s">
        <v>147</v>
      </c>
      <c r="E1" s="71" t="s">
        <v>148</v>
      </c>
      <c r="F1" s="374" t="s">
        <v>113</v>
      </c>
      <c r="G1" s="368"/>
      <c r="H1" s="368"/>
      <c r="I1" s="368"/>
      <c r="J1" s="375"/>
      <c r="K1" s="367" t="s">
        <v>114</v>
      </c>
      <c r="L1" s="370"/>
      <c r="M1" s="371"/>
      <c r="N1" s="369"/>
      <c r="O1" s="367" t="s">
        <v>115</v>
      </c>
      <c r="P1" s="368"/>
      <c r="Q1" s="369"/>
      <c r="R1" s="367" t="s">
        <v>116</v>
      </c>
      <c r="S1" s="368"/>
      <c r="T1" s="368"/>
      <c r="U1" s="369"/>
    </row>
    <row r="2" spans="1:21" ht="25.5" x14ac:dyDescent="0.2">
      <c r="A2" s="373"/>
      <c r="B2" s="21"/>
      <c r="C2" s="21"/>
      <c r="D2" s="21"/>
      <c r="E2" s="21"/>
      <c r="F2" s="21" t="s">
        <v>143</v>
      </c>
      <c r="G2" s="75" t="s">
        <v>36</v>
      </c>
      <c r="H2" s="5" t="s">
        <v>152</v>
      </c>
      <c r="I2" s="57" t="s">
        <v>139</v>
      </c>
      <c r="J2" s="22" t="s">
        <v>140</v>
      </c>
      <c r="K2" s="21" t="s">
        <v>143</v>
      </c>
      <c r="L2" s="5" t="s">
        <v>152</v>
      </c>
      <c r="M2" s="57" t="s">
        <v>139</v>
      </c>
      <c r="N2" s="22" t="s">
        <v>140</v>
      </c>
      <c r="O2" s="5" t="s">
        <v>152</v>
      </c>
      <c r="P2" s="57" t="s">
        <v>139</v>
      </c>
      <c r="Q2" s="22" t="s">
        <v>140</v>
      </c>
      <c r="R2" s="5" t="s">
        <v>152</v>
      </c>
      <c r="S2" s="75" t="s">
        <v>36</v>
      </c>
      <c r="T2" s="57" t="s">
        <v>139</v>
      </c>
      <c r="U2" s="22" t="s">
        <v>140</v>
      </c>
    </row>
    <row r="3" spans="1:21" s="37" customFormat="1" x14ac:dyDescent="0.2">
      <c r="A3" s="38" t="s">
        <v>94</v>
      </c>
      <c r="B3" s="43"/>
      <c r="C3" s="43"/>
      <c r="D3" s="43"/>
      <c r="E3" s="43"/>
      <c r="F3" s="43"/>
      <c r="G3" s="44"/>
      <c r="H3" s="45"/>
      <c r="I3" s="58">
        <v>61500</v>
      </c>
      <c r="J3" s="46"/>
      <c r="K3" s="43"/>
      <c r="L3" s="45"/>
      <c r="M3" s="45">
        <v>12000</v>
      </c>
      <c r="N3" s="46">
        <v>73500</v>
      </c>
      <c r="O3" s="43"/>
      <c r="P3" s="45"/>
      <c r="Q3" s="46"/>
      <c r="R3" s="43"/>
      <c r="S3" s="55"/>
      <c r="T3" s="55"/>
      <c r="U3" s="46"/>
    </row>
    <row r="4" spans="1:21" s="37" customFormat="1" x14ac:dyDescent="0.2">
      <c r="A4" s="38" t="s">
        <v>95</v>
      </c>
      <c r="B4" s="43"/>
      <c r="C4" s="43"/>
      <c r="D4" s="43"/>
      <c r="E4" s="43"/>
      <c r="F4" s="43"/>
      <c r="G4" s="44"/>
      <c r="H4" s="45"/>
      <c r="I4" s="58"/>
      <c r="J4" s="46"/>
      <c r="K4" s="43"/>
      <c r="L4" s="45"/>
      <c r="M4" s="45">
        <v>41615</v>
      </c>
      <c r="N4" s="46"/>
      <c r="O4" s="43"/>
      <c r="P4" s="45">
        <v>125000</v>
      </c>
      <c r="Q4" s="46">
        <v>41000</v>
      </c>
      <c r="R4" s="43"/>
      <c r="S4" s="55"/>
      <c r="T4" s="55"/>
      <c r="U4" s="46">
        <v>125615</v>
      </c>
    </row>
    <row r="5" spans="1:21" s="37" customFormat="1" ht="25.5" x14ac:dyDescent="0.2">
      <c r="A5" s="38" t="s">
        <v>96</v>
      </c>
      <c r="B5" s="43"/>
      <c r="C5" s="43"/>
      <c r="D5" s="43"/>
      <c r="E5" s="43"/>
      <c r="F5" s="43"/>
      <c r="G5" s="44"/>
      <c r="H5" s="45"/>
      <c r="I5" s="58">
        <v>61250</v>
      </c>
      <c r="J5" s="46"/>
      <c r="K5" s="43"/>
      <c r="L5" s="45"/>
      <c r="M5" s="45"/>
      <c r="N5" s="46">
        <v>61250</v>
      </c>
      <c r="O5" s="43"/>
      <c r="P5" s="45"/>
      <c r="Q5" s="46"/>
      <c r="R5" s="43"/>
      <c r="S5" s="55"/>
      <c r="T5" s="55"/>
      <c r="U5" s="46"/>
    </row>
    <row r="6" spans="1:21" s="37" customFormat="1" x14ac:dyDescent="0.2">
      <c r="A6" s="38" t="s">
        <v>97</v>
      </c>
      <c r="B6" s="43"/>
      <c r="C6" s="43"/>
      <c r="D6" s="43"/>
      <c r="E6" s="43">
        <v>49812.41</v>
      </c>
      <c r="F6" s="43"/>
      <c r="G6" s="44"/>
      <c r="H6" s="45"/>
      <c r="I6" s="58"/>
      <c r="J6" s="46"/>
      <c r="K6" s="43"/>
      <c r="L6" s="45"/>
      <c r="M6" s="45"/>
      <c r="N6" s="46"/>
      <c r="O6" s="43"/>
      <c r="P6" s="45"/>
      <c r="Q6" s="46"/>
      <c r="R6" s="43"/>
      <c r="S6" s="55"/>
      <c r="T6" s="55"/>
      <c r="U6" s="46"/>
    </row>
    <row r="7" spans="1:21" s="37" customFormat="1" x14ac:dyDescent="0.2">
      <c r="A7" s="39" t="s">
        <v>37</v>
      </c>
      <c r="B7" s="43"/>
      <c r="C7" s="43"/>
      <c r="D7" s="43">
        <v>26008.13</v>
      </c>
      <c r="E7" s="43"/>
      <c r="F7" s="43"/>
      <c r="G7" s="44"/>
      <c r="H7" s="45"/>
      <c r="I7" s="58"/>
      <c r="J7" s="46">
        <v>26375</v>
      </c>
      <c r="K7" s="43"/>
      <c r="L7" s="45"/>
      <c r="M7" s="45"/>
      <c r="N7" s="46"/>
      <c r="O7" s="43"/>
      <c r="P7" s="45"/>
      <c r="Q7" s="46"/>
      <c r="R7" s="43"/>
      <c r="S7" s="55"/>
      <c r="T7" s="55"/>
      <c r="U7" s="46"/>
    </row>
    <row r="8" spans="1:21" s="37" customFormat="1" x14ac:dyDescent="0.2">
      <c r="A8" s="39" t="s">
        <v>39</v>
      </c>
      <c r="B8" s="43"/>
      <c r="C8" s="43"/>
      <c r="D8" s="43"/>
      <c r="E8" s="43">
        <v>28692.21</v>
      </c>
      <c r="F8" s="43"/>
      <c r="G8" s="44"/>
      <c r="H8" s="45"/>
      <c r="I8" s="58"/>
      <c r="J8" s="46"/>
      <c r="K8" s="43"/>
      <c r="L8" s="45"/>
      <c r="M8" s="45"/>
      <c r="N8" s="46"/>
      <c r="O8" s="43"/>
      <c r="P8" s="45"/>
      <c r="Q8" s="46"/>
      <c r="R8" s="43"/>
      <c r="S8" s="55"/>
      <c r="T8" s="55"/>
      <c r="U8" s="46"/>
    </row>
    <row r="9" spans="1:21" s="37" customFormat="1" x14ac:dyDescent="0.2">
      <c r="A9" s="39" t="s">
        <v>142</v>
      </c>
      <c r="B9" s="43"/>
      <c r="C9" s="43"/>
      <c r="D9" s="43">
        <v>35376.769999999997</v>
      </c>
      <c r="E9" s="43"/>
      <c r="F9" s="43"/>
      <c r="G9" s="44"/>
      <c r="H9" s="45"/>
      <c r="I9" s="58"/>
      <c r="J9" s="46">
        <v>128368</v>
      </c>
      <c r="K9" s="43"/>
      <c r="L9" s="45"/>
      <c r="M9" s="45"/>
      <c r="N9" s="46"/>
      <c r="O9" s="43"/>
      <c r="P9" s="45"/>
      <c r="Q9" s="46"/>
      <c r="R9" s="43"/>
      <c r="S9" s="55"/>
      <c r="T9" s="55"/>
      <c r="U9" s="46"/>
    </row>
    <row r="10" spans="1:21" s="37" customFormat="1" ht="25.5" x14ac:dyDescent="0.2">
      <c r="A10" s="39" t="s">
        <v>38</v>
      </c>
      <c r="B10" s="43"/>
      <c r="C10" s="43"/>
      <c r="D10" s="43">
        <v>33997.089999999997</v>
      </c>
      <c r="E10" s="43"/>
      <c r="F10" s="43"/>
      <c r="G10" s="44"/>
      <c r="H10" s="45"/>
      <c r="I10" s="58"/>
      <c r="J10" s="46">
        <v>68490.75</v>
      </c>
      <c r="K10" s="43"/>
      <c r="L10" s="45"/>
      <c r="M10" s="45"/>
      <c r="N10" s="46"/>
      <c r="O10" s="43"/>
      <c r="P10" s="45"/>
      <c r="Q10" s="46"/>
      <c r="R10" s="43"/>
      <c r="S10" s="55"/>
      <c r="T10" s="55"/>
      <c r="U10" s="46"/>
    </row>
    <row r="11" spans="1:21" s="37" customFormat="1" ht="25.5" x14ac:dyDescent="0.2">
      <c r="A11" s="39" t="s">
        <v>40</v>
      </c>
      <c r="B11" s="43"/>
      <c r="C11" s="43"/>
      <c r="D11" s="43">
        <v>20356.8</v>
      </c>
      <c r="E11" s="43">
        <v>82232.67</v>
      </c>
      <c r="F11" s="43"/>
      <c r="G11" s="44"/>
      <c r="H11" s="45"/>
      <c r="I11" s="58"/>
      <c r="J11" s="46"/>
      <c r="K11" s="43"/>
      <c r="L11" s="45"/>
      <c r="M11" s="45"/>
      <c r="N11" s="46"/>
      <c r="O11" s="43"/>
      <c r="P11" s="45"/>
      <c r="Q11" s="46"/>
      <c r="R11" s="43"/>
      <c r="S11" s="55"/>
      <c r="T11" s="55"/>
      <c r="U11" s="46"/>
    </row>
    <row r="12" spans="1:21" s="37" customFormat="1" ht="25.5" x14ac:dyDescent="0.2">
      <c r="A12" s="39" t="s">
        <v>41</v>
      </c>
      <c r="B12" s="43"/>
      <c r="C12" s="43"/>
      <c r="D12" s="43">
        <v>190.46</v>
      </c>
      <c r="E12" s="43"/>
      <c r="F12" s="43"/>
      <c r="G12" s="44"/>
      <c r="H12" s="45"/>
      <c r="I12" s="58">
        <f>40720+2059.53</f>
        <v>42779.53</v>
      </c>
      <c r="J12" s="46">
        <v>42970</v>
      </c>
      <c r="K12" s="43"/>
      <c r="L12" s="45"/>
      <c r="M12" s="45"/>
      <c r="N12" s="46"/>
      <c r="O12" s="43"/>
      <c r="P12" s="45"/>
      <c r="Q12" s="46"/>
      <c r="R12" s="43"/>
      <c r="S12" s="55"/>
      <c r="T12" s="55"/>
      <c r="U12" s="46"/>
    </row>
    <row r="13" spans="1:21" s="37" customFormat="1" ht="25.5" x14ac:dyDescent="0.2">
      <c r="A13" s="39" t="s">
        <v>43</v>
      </c>
      <c r="B13" s="43"/>
      <c r="C13" s="43"/>
      <c r="D13" s="43"/>
      <c r="E13" s="43"/>
      <c r="F13" s="43"/>
      <c r="G13" s="44"/>
      <c r="H13" s="45"/>
      <c r="I13" s="58">
        <v>73420</v>
      </c>
      <c r="J13" s="46"/>
      <c r="K13" s="43"/>
      <c r="L13" s="45"/>
      <c r="M13" s="45"/>
      <c r="N13" s="46">
        <v>73420</v>
      </c>
      <c r="O13" s="43"/>
      <c r="P13" s="45"/>
      <c r="Q13" s="46"/>
      <c r="R13" s="43"/>
      <c r="S13" s="55"/>
      <c r="T13" s="55"/>
      <c r="U13" s="46"/>
    </row>
    <row r="14" spans="1:21" s="37" customFormat="1" ht="25.5" x14ac:dyDescent="0.2">
      <c r="A14" s="39" t="s">
        <v>42</v>
      </c>
      <c r="B14" s="43"/>
      <c r="C14" s="43"/>
      <c r="D14" s="43"/>
      <c r="E14" s="43">
        <v>46106.89</v>
      </c>
      <c r="F14" s="43"/>
      <c r="G14" s="44"/>
      <c r="H14" s="45"/>
      <c r="I14" s="58"/>
      <c r="J14" s="46"/>
      <c r="K14" s="43"/>
      <c r="L14" s="45"/>
      <c r="M14" s="45"/>
      <c r="N14" s="46"/>
      <c r="O14" s="43"/>
      <c r="P14" s="45"/>
      <c r="Q14" s="46"/>
      <c r="R14" s="43"/>
      <c r="S14" s="55"/>
      <c r="T14" s="55"/>
      <c r="U14" s="46"/>
    </row>
    <row r="15" spans="1:21" s="37" customFormat="1" x14ac:dyDescent="0.2">
      <c r="A15" s="39" t="s">
        <v>44</v>
      </c>
      <c r="B15" s="43"/>
      <c r="C15" s="43"/>
      <c r="D15" s="43"/>
      <c r="E15" s="43"/>
      <c r="F15" s="43"/>
      <c r="G15" s="44"/>
      <c r="H15" s="45"/>
      <c r="I15" s="58">
        <v>39283</v>
      </c>
      <c r="J15" s="46">
        <v>39283</v>
      </c>
      <c r="K15" s="43"/>
      <c r="L15" s="45"/>
      <c r="M15" s="45"/>
      <c r="N15" s="46"/>
      <c r="O15" s="43"/>
      <c r="P15" s="45"/>
      <c r="Q15" s="46"/>
      <c r="R15" s="43"/>
      <c r="S15" s="55"/>
      <c r="T15" s="55"/>
      <c r="U15" s="46"/>
    </row>
    <row r="16" spans="1:21" s="37" customFormat="1" x14ac:dyDescent="0.2">
      <c r="A16" s="39" t="s">
        <v>45</v>
      </c>
      <c r="B16" s="43"/>
      <c r="C16" s="43"/>
      <c r="D16" s="43">
        <v>27498.560000000001</v>
      </c>
      <c r="E16" s="43"/>
      <c r="F16" s="43"/>
      <c r="G16" s="44"/>
      <c r="H16" s="45"/>
      <c r="I16" s="58">
        <v>1265.94</v>
      </c>
      <c r="J16" s="46">
        <v>28764.5</v>
      </c>
      <c r="K16" s="43"/>
      <c r="L16" s="45"/>
      <c r="M16" s="45"/>
      <c r="N16" s="46"/>
      <c r="O16" s="43"/>
      <c r="P16" s="45"/>
      <c r="Q16" s="46"/>
      <c r="R16" s="43"/>
      <c r="S16" s="55"/>
      <c r="T16" s="55"/>
      <c r="U16" s="46"/>
    </row>
    <row r="17" spans="1:21" s="37" customFormat="1" ht="25.5" x14ac:dyDescent="0.2">
      <c r="A17" s="39" t="s">
        <v>46</v>
      </c>
      <c r="B17" s="43"/>
      <c r="C17" s="43"/>
      <c r="D17" s="43"/>
      <c r="E17" s="43"/>
      <c r="F17" s="43"/>
      <c r="G17" s="44"/>
      <c r="H17" s="45"/>
      <c r="I17" s="58"/>
      <c r="J17" s="46"/>
      <c r="K17" s="43"/>
      <c r="L17" s="45"/>
      <c r="M17" s="45"/>
      <c r="N17" s="46"/>
      <c r="O17" s="43"/>
      <c r="P17" s="45">
        <v>63270</v>
      </c>
      <c r="Q17" s="46">
        <v>63270</v>
      </c>
      <c r="R17" s="43"/>
      <c r="S17" s="55"/>
      <c r="T17" s="55"/>
      <c r="U17" s="46"/>
    </row>
    <row r="18" spans="1:21" s="37" customFormat="1" x14ac:dyDescent="0.2">
      <c r="A18" s="39" t="s">
        <v>47</v>
      </c>
      <c r="B18" s="43"/>
      <c r="C18" s="43"/>
      <c r="D18" s="43"/>
      <c r="E18" s="43"/>
      <c r="F18" s="43"/>
      <c r="G18" s="44"/>
      <c r="H18" s="45"/>
      <c r="I18" s="58">
        <v>60100</v>
      </c>
      <c r="J18" s="46"/>
      <c r="K18" s="43"/>
      <c r="L18" s="45"/>
      <c r="M18" s="45">
        <v>35178</v>
      </c>
      <c r="N18" s="46"/>
      <c r="O18" s="43"/>
      <c r="P18" s="45"/>
      <c r="Q18" s="46">
        <v>95278</v>
      </c>
      <c r="R18" s="43"/>
      <c r="S18" s="55"/>
      <c r="T18" s="55"/>
      <c r="U18" s="46"/>
    </row>
    <row r="19" spans="1:21" s="37" customFormat="1" x14ac:dyDescent="0.2">
      <c r="A19" s="39" t="s">
        <v>48</v>
      </c>
      <c r="B19" s="43"/>
      <c r="C19" s="43"/>
      <c r="D19" s="43"/>
      <c r="E19" s="43"/>
      <c r="F19" s="43"/>
      <c r="G19" s="44"/>
      <c r="H19" s="45"/>
      <c r="I19" s="58"/>
      <c r="J19" s="46"/>
      <c r="K19" s="43"/>
      <c r="L19" s="45"/>
      <c r="M19" s="45">
        <v>34440</v>
      </c>
      <c r="N19" s="46">
        <v>34440</v>
      </c>
      <c r="O19" s="43"/>
      <c r="P19" s="45"/>
      <c r="Q19" s="46"/>
      <c r="R19" s="43"/>
      <c r="S19" s="55"/>
      <c r="T19" s="55"/>
      <c r="U19" s="46"/>
    </row>
    <row r="20" spans="1:21" s="37" customFormat="1" ht="25.5" x14ac:dyDescent="0.2">
      <c r="A20" s="39" t="s">
        <v>49</v>
      </c>
      <c r="B20" s="43"/>
      <c r="C20" s="43"/>
      <c r="D20" s="43"/>
      <c r="E20" s="43"/>
      <c r="F20" s="43"/>
      <c r="G20" s="44"/>
      <c r="H20" s="45"/>
      <c r="I20" s="58"/>
      <c r="J20" s="46"/>
      <c r="K20" s="43"/>
      <c r="L20" s="45"/>
      <c r="M20" s="45"/>
      <c r="N20" s="46"/>
      <c r="O20" s="43"/>
      <c r="P20" s="45">
        <v>45465</v>
      </c>
      <c r="Q20" s="46">
        <v>45465</v>
      </c>
      <c r="R20" s="43"/>
      <c r="S20" s="55"/>
      <c r="T20" s="55"/>
      <c r="U20" s="46"/>
    </row>
    <row r="21" spans="1:21" s="37" customFormat="1" ht="38.25" x14ac:dyDescent="0.2">
      <c r="A21" s="39" t="s">
        <v>50</v>
      </c>
      <c r="B21" s="43"/>
      <c r="C21" s="43"/>
      <c r="D21" s="43"/>
      <c r="E21" s="43"/>
      <c r="F21" s="43"/>
      <c r="G21" s="44"/>
      <c r="H21" s="45"/>
      <c r="I21" s="58"/>
      <c r="J21" s="46"/>
      <c r="K21" s="43"/>
      <c r="L21" s="45"/>
      <c r="M21" s="45"/>
      <c r="N21" s="46"/>
      <c r="O21" s="43"/>
      <c r="P21" s="45">
        <v>121800</v>
      </c>
      <c r="Q21" s="46">
        <v>121800</v>
      </c>
      <c r="R21" s="43"/>
      <c r="S21" s="55"/>
      <c r="T21" s="55"/>
      <c r="U21" s="46"/>
    </row>
    <row r="22" spans="1:21" s="37" customFormat="1" ht="25.5" x14ac:dyDescent="0.2">
      <c r="A22" s="39" t="s">
        <v>51</v>
      </c>
      <c r="B22" s="43"/>
      <c r="C22" s="43"/>
      <c r="D22" s="43"/>
      <c r="E22" s="43"/>
      <c r="F22" s="43"/>
      <c r="G22" s="44"/>
      <c r="H22" s="45"/>
      <c r="I22" s="58"/>
      <c r="J22" s="46"/>
      <c r="K22" s="43"/>
      <c r="L22" s="45"/>
      <c r="M22" s="45"/>
      <c r="N22" s="46"/>
      <c r="O22" s="43"/>
      <c r="P22" s="45">
        <v>45163</v>
      </c>
      <c r="Q22" s="46">
        <v>45163</v>
      </c>
      <c r="R22" s="43"/>
      <c r="S22" s="55"/>
      <c r="T22" s="55"/>
      <c r="U22" s="46"/>
    </row>
    <row r="23" spans="1:21" s="37" customFormat="1" ht="25.5" x14ac:dyDescent="0.2">
      <c r="A23" s="39" t="s">
        <v>52</v>
      </c>
      <c r="B23" s="43"/>
      <c r="C23" s="43"/>
      <c r="D23" s="43"/>
      <c r="E23" s="43"/>
      <c r="F23" s="43"/>
      <c r="G23" s="44"/>
      <c r="H23" s="45"/>
      <c r="I23" s="58">
        <v>0</v>
      </c>
      <c r="J23" s="46"/>
      <c r="K23" s="43"/>
      <c r="L23" s="45"/>
      <c r="M23" s="45"/>
      <c r="N23" s="46"/>
      <c r="O23" s="43"/>
      <c r="P23" s="45">
        <v>14720</v>
      </c>
      <c r="Q23" s="46">
        <v>14720</v>
      </c>
      <c r="R23" s="43"/>
      <c r="S23" s="55"/>
      <c r="T23" s="55"/>
      <c r="U23" s="46"/>
    </row>
    <row r="24" spans="1:21" s="37" customFormat="1" ht="25.5" x14ac:dyDescent="0.2">
      <c r="A24" s="39" t="s">
        <v>53</v>
      </c>
      <c r="B24" s="43"/>
      <c r="C24" s="43"/>
      <c r="D24" s="43"/>
      <c r="E24" s="43"/>
      <c r="F24" s="43"/>
      <c r="G24" s="44"/>
      <c r="H24" s="45"/>
      <c r="I24" s="58"/>
      <c r="J24" s="46"/>
      <c r="K24" s="43"/>
      <c r="L24" s="45"/>
      <c r="M24" s="45"/>
      <c r="N24" s="46"/>
      <c r="O24" s="43"/>
      <c r="P24" s="45">
        <v>13293</v>
      </c>
      <c r="Q24" s="46">
        <v>13293</v>
      </c>
      <c r="R24" s="43"/>
      <c r="S24" s="55"/>
      <c r="T24" s="55"/>
      <c r="U24" s="46"/>
    </row>
    <row r="25" spans="1:21" s="37" customFormat="1" ht="25.5" x14ac:dyDescent="0.2">
      <c r="A25" s="39" t="s">
        <v>54</v>
      </c>
      <c r="B25" s="43"/>
      <c r="C25" s="43"/>
      <c r="D25" s="43"/>
      <c r="E25" s="43"/>
      <c r="F25" s="43"/>
      <c r="G25" s="44"/>
      <c r="H25" s="45"/>
      <c r="I25" s="58"/>
      <c r="J25" s="46"/>
      <c r="K25" s="43"/>
      <c r="L25" s="45"/>
      <c r="M25" s="45">
        <v>87137</v>
      </c>
      <c r="N25" s="46"/>
      <c r="O25" s="43"/>
      <c r="P25" s="45">
        <v>18000</v>
      </c>
      <c r="Q25" s="46">
        <v>105137</v>
      </c>
      <c r="R25" s="43"/>
      <c r="S25" s="55"/>
      <c r="T25" s="55"/>
      <c r="U25" s="46"/>
    </row>
    <row r="26" spans="1:21" s="37" customFormat="1" ht="25.5" x14ac:dyDescent="0.2">
      <c r="A26" s="39" t="s">
        <v>55</v>
      </c>
      <c r="B26" s="43"/>
      <c r="C26" s="43"/>
      <c r="D26" s="43"/>
      <c r="E26" s="43"/>
      <c r="F26" s="43"/>
      <c r="G26" s="44"/>
      <c r="H26" s="45"/>
      <c r="I26" s="58">
        <v>59400</v>
      </c>
      <c r="J26" s="46"/>
      <c r="K26" s="43"/>
      <c r="L26" s="45"/>
      <c r="M26" s="45">
        <v>52590</v>
      </c>
      <c r="N26" s="46"/>
      <c r="O26" s="43"/>
      <c r="P26" s="45"/>
      <c r="Q26" s="46">
        <v>111990</v>
      </c>
      <c r="R26" s="43"/>
      <c r="S26" s="55"/>
      <c r="T26" s="55"/>
      <c r="U26" s="46"/>
    </row>
    <row r="27" spans="1:21" s="37" customFormat="1" ht="25.5" x14ac:dyDescent="0.2">
      <c r="A27" s="39" t="s">
        <v>56</v>
      </c>
      <c r="B27" s="43"/>
      <c r="C27" s="43"/>
      <c r="D27" s="43"/>
      <c r="E27" s="43"/>
      <c r="F27" s="43"/>
      <c r="G27" s="44"/>
      <c r="H27" s="45"/>
      <c r="I27" s="58"/>
      <c r="J27" s="46"/>
      <c r="K27" s="43"/>
      <c r="L27" s="45"/>
      <c r="M27" s="45"/>
      <c r="N27" s="46"/>
      <c r="O27" s="43"/>
      <c r="P27" s="45">
        <v>25800</v>
      </c>
      <c r="Q27" s="46">
        <v>25800</v>
      </c>
      <c r="R27" s="43"/>
      <c r="S27" s="55"/>
      <c r="T27" s="55"/>
      <c r="U27" s="46"/>
    </row>
    <row r="28" spans="1:21" s="37" customFormat="1" x14ac:dyDescent="0.2">
      <c r="A28" s="39" t="s">
        <v>57</v>
      </c>
      <c r="B28" s="43"/>
      <c r="C28" s="43"/>
      <c r="D28" s="43"/>
      <c r="E28" s="43"/>
      <c r="F28" s="43"/>
      <c r="G28" s="44"/>
      <c r="H28" s="45"/>
      <c r="I28" s="58">
        <v>23100</v>
      </c>
      <c r="J28" s="46"/>
      <c r="K28" s="43"/>
      <c r="L28" s="45"/>
      <c r="M28" s="45">
        <v>71981</v>
      </c>
      <c r="N28" s="46"/>
      <c r="O28" s="43"/>
      <c r="P28" s="45">
        <v>4500</v>
      </c>
      <c r="Q28" s="46">
        <v>99581</v>
      </c>
      <c r="R28" s="43"/>
      <c r="S28" s="55"/>
      <c r="T28" s="55"/>
      <c r="U28" s="46"/>
    </row>
    <row r="29" spans="1:21" s="37" customFormat="1" x14ac:dyDescent="0.2">
      <c r="A29" s="39" t="s">
        <v>58</v>
      </c>
      <c r="B29" s="43"/>
      <c r="C29" s="43"/>
      <c r="D29" s="43"/>
      <c r="E29" s="43"/>
      <c r="F29" s="43"/>
      <c r="G29" s="44"/>
      <c r="H29" s="45"/>
      <c r="I29" s="58">
        <v>3930</v>
      </c>
      <c r="J29" s="46">
        <v>3930</v>
      </c>
      <c r="K29" s="43"/>
      <c r="L29" s="45"/>
      <c r="M29" s="45"/>
      <c r="N29" s="46"/>
      <c r="O29" s="43"/>
      <c r="P29" s="45"/>
      <c r="Q29" s="46"/>
      <c r="R29" s="43"/>
      <c r="S29" s="55"/>
      <c r="T29" s="55"/>
      <c r="U29" s="46"/>
    </row>
    <row r="30" spans="1:21" s="37" customFormat="1" x14ac:dyDescent="0.2">
      <c r="A30" s="39" t="s">
        <v>59</v>
      </c>
      <c r="B30" s="43"/>
      <c r="C30" s="43"/>
      <c r="D30" s="43"/>
      <c r="E30" s="43"/>
      <c r="F30" s="43"/>
      <c r="G30" s="44"/>
      <c r="H30" s="45"/>
      <c r="I30" s="58">
        <v>3273</v>
      </c>
      <c r="J30" s="46">
        <v>3273</v>
      </c>
      <c r="K30" s="43"/>
      <c r="L30" s="45"/>
      <c r="M30" s="45"/>
      <c r="N30" s="46"/>
      <c r="O30" s="43"/>
      <c r="P30" s="45"/>
      <c r="Q30" s="46"/>
      <c r="R30" s="43"/>
      <c r="S30" s="55"/>
      <c r="T30" s="55"/>
      <c r="U30" s="46"/>
    </row>
    <row r="31" spans="1:21" s="37" customFormat="1" x14ac:dyDescent="0.2">
      <c r="A31" s="39" t="s">
        <v>60</v>
      </c>
      <c r="B31" s="43"/>
      <c r="C31" s="43"/>
      <c r="D31" s="43"/>
      <c r="E31" s="43"/>
      <c r="F31" s="43"/>
      <c r="G31" s="44"/>
      <c r="H31" s="45"/>
      <c r="I31" s="58">
        <v>1667</v>
      </c>
      <c r="J31" s="46">
        <v>1667</v>
      </c>
      <c r="K31" s="43"/>
      <c r="L31" s="45"/>
      <c r="M31" s="45"/>
      <c r="N31" s="46"/>
      <c r="O31" s="43"/>
      <c r="P31" s="45"/>
      <c r="Q31" s="46"/>
      <c r="R31" s="43"/>
      <c r="S31" s="55"/>
      <c r="T31" s="55"/>
      <c r="U31" s="46"/>
    </row>
    <row r="32" spans="1:21" ht="25.5" x14ac:dyDescent="0.2">
      <c r="A32" s="16" t="s">
        <v>26</v>
      </c>
      <c r="B32" s="23"/>
      <c r="C32" s="23"/>
      <c r="D32" s="23"/>
      <c r="E32" s="23"/>
      <c r="F32" s="23"/>
      <c r="G32" s="6"/>
      <c r="H32" s="104">
        <v>807</v>
      </c>
      <c r="I32" s="59"/>
      <c r="J32" s="24"/>
      <c r="K32" s="31"/>
      <c r="L32" s="105">
        <v>130993</v>
      </c>
      <c r="M32" s="7"/>
      <c r="N32" s="32"/>
      <c r="O32" s="23"/>
      <c r="P32" s="7"/>
      <c r="Q32" s="24"/>
      <c r="R32" s="23"/>
      <c r="S32" s="56"/>
      <c r="T32" s="56"/>
      <c r="U32" s="24"/>
    </row>
    <row r="33" spans="1:21" ht="38.25" x14ac:dyDescent="0.2">
      <c r="A33" s="16" t="s">
        <v>25</v>
      </c>
      <c r="B33" s="23"/>
      <c r="C33" s="23"/>
      <c r="D33" s="23"/>
      <c r="E33" s="23"/>
      <c r="F33" s="23"/>
      <c r="G33" s="6"/>
      <c r="H33" s="104">
        <v>27298</v>
      </c>
      <c r="I33" s="59"/>
      <c r="J33" s="24"/>
      <c r="K33" s="31"/>
      <c r="L33" s="105">
        <v>29993</v>
      </c>
      <c r="M33" s="7"/>
      <c r="N33" s="32"/>
      <c r="O33" s="106">
        <v>64999</v>
      </c>
      <c r="P33" s="7"/>
      <c r="Q33" s="24"/>
      <c r="R33" s="106">
        <v>3710</v>
      </c>
      <c r="S33" s="56"/>
      <c r="T33" s="56"/>
      <c r="U33" s="24"/>
    </row>
    <row r="34" spans="1:21" s="8" customFormat="1" x14ac:dyDescent="0.2">
      <c r="A34" s="17" t="s">
        <v>31</v>
      </c>
      <c r="B34" s="25">
        <f t="shared" ref="B34:R34" si="0">SUM(B3:B33)</f>
        <v>0</v>
      </c>
      <c r="C34" s="25">
        <f t="shared" si="0"/>
        <v>0</v>
      </c>
      <c r="D34" s="25">
        <f t="shared" si="0"/>
        <v>143427.81</v>
      </c>
      <c r="E34" s="25">
        <f t="shared" si="0"/>
        <v>206844.18</v>
      </c>
      <c r="F34" s="25">
        <f t="shared" si="0"/>
        <v>0</v>
      </c>
      <c r="G34" s="1">
        <f t="shared" si="0"/>
        <v>0</v>
      </c>
      <c r="H34" s="1">
        <f t="shared" si="0"/>
        <v>28105</v>
      </c>
      <c r="I34" s="60">
        <f t="shared" si="0"/>
        <v>430968.47000000003</v>
      </c>
      <c r="J34" s="63">
        <f t="shared" si="0"/>
        <v>343121.25</v>
      </c>
      <c r="K34" s="25">
        <f t="shared" si="0"/>
        <v>0</v>
      </c>
      <c r="L34" s="1">
        <f t="shared" si="0"/>
        <v>160986</v>
      </c>
      <c r="M34" s="1">
        <f t="shared" si="0"/>
        <v>334941</v>
      </c>
      <c r="N34" s="26">
        <f t="shared" si="0"/>
        <v>242610</v>
      </c>
      <c r="O34" s="25">
        <f t="shared" si="0"/>
        <v>64999</v>
      </c>
      <c r="P34" s="25">
        <f t="shared" si="0"/>
        <v>477011</v>
      </c>
      <c r="Q34" s="26">
        <f t="shared" si="0"/>
        <v>782497</v>
      </c>
      <c r="R34" s="25">
        <f t="shared" si="0"/>
        <v>3710</v>
      </c>
      <c r="S34" s="25"/>
      <c r="T34" s="25">
        <f>SUM(T3:T33)</f>
        <v>0</v>
      </c>
      <c r="U34" s="26">
        <f>SUM(U3:U33)</f>
        <v>125615</v>
      </c>
    </row>
    <row r="35" spans="1:21" s="37" customFormat="1" ht="25.5" x14ac:dyDescent="0.2">
      <c r="A35" s="38" t="s">
        <v>101</v>
      </c>
      <c r="B35" s="43"/>
      <c r="C35" s="43"/>
      <c r="D35" s="43">
        <v>9288.98</v>
      </c>
      <c r="E35" s="43">
        <v>0</v>
      </c>
      <c r="F35" s="43"/>
      <c r="G35" s="44"/>
      <c r="H35" s="45"/>
      <c r="I35" s="58">
        <v>247.28</v>
      </c>
      <c r="J35" s="97">
        <v>8965</v>
      </c>
      <c r="K35" s="43"/>
      <c r="L35" s="45"/>
      <c r="M35" s="45"/>
      <c r="N35" s="46"/>
      <c r="O35" s="43"/>
      <c r="P35" s="55"/>
      <c r="Q35" s="46"/>
      <c r="R35" s="43"/>
      <c r="S35" s="55"/>
      <c r="T35" s="55"/>
      <c r="U35" s="46"/>
    </row>
    <row r="36" spans="1:21" s="37" customFormat="1" x14ac:dyDescent="0.2">
      <c r="A36" s="39" t="s">
        <v>61</v>
      </c>
      <c r="B36" s="43"/>
      <c r="C36" s="43"/>
      <c r="D36" s="43">
        <v>3466.25</v>
      </c>
      <c r="E36" s="43"/>
      <c r="F36" s="43"/>
      <c r="G36" s="44"/>
      <c r="H36" s="45"/>
      <c r="I36" s="58">
        <f>6095+56.28</f>
        <v>6151.28</v>
      </c>
      <c r="J36" s="46">
        <v>19892.599999999999</v>
      </c>
      <c r="K36" s="43"/>
      <c r="L36" s="45"/>
      <c r="M36" s="45"/>
      <c r="N36" s="46"/>
      <c r="O36" s="43"/>
      <c r="P36" s="55"/>
      <c r="Q36" s="46"/>
      <c r="R36" s="43"/>
      <c r="S36" s="55"/>
      <c r="T36" s="55"/>
      <c r="U36" s="46"/>
    </row>
    <row r="37" spans="1:21" s="37" customFormat="1" x14ac:dyDescent="0.2">
      <c r="A37" s="39" t="s">
        <v>62</v>
      </c>
      <c r="B37" s="43"/>
      <c r="C37" s="43"/>
      <c r="D37" s="43">
        <v>8810.76</v>
      </c>
      <c r="E37" s="43">
        <v>289.41000000000003</v>
      </c>
      <c r="F37" s="43"/>
      <c r="G37" s="44"/>
      <c r="H37" s="45"/>
      <c r="I37" s="58"/>
      <c r="J37" s="46">
        <v>23274.1</v>
      </c>
      <c r="K37" s="43"/>
      <c r="L37" s="45"/>
      <c r="M37" s="45"/>
      <c r="N37" s="46"/>
      <c r="O37" s="43"/>
      <c r="P37" s="55"/>
      <c r="Q37" s="46"/>
      <c r="R37" s="43"/>
      <c r="S37" s="55"/>
      <c r="T37" s="55"/>
      <c r="U37" s="46"/>
    </row>
    <row r="38" spans="1:21" s="37" customFormat="1" x14ac:dyDescent="0.2">
      <c r="A38" s="39" t="s">
        <v>63</v>
      </c>
      <c r="B38" s="43"/>
      <c r="C38" s="43"/>
      <c r="D38" s="43"/>
      <c r="E38" s="43">
        <v>21763.89</v>
      </c>
      <c r="F38" s="43"/>
      <c r="G38" s="44"/>
      <c r="H38" s="45"/>
      <c r="I38" s="58"/>
      <c r="J38" s="46"/>
      <c r="K38" s="43"/>
      <c r="L38" s="45"/>
      <c r="M38" s="45"/>
      <c r="N38" s="46"/>
      <c r="O38" s="43"/>
      <c r="P38" s="55"/>
      <c r="Q38" s="46"/>
      <c r="R38" s="43"/>
      <c r="S38" s="55"/>
      <c r="T38" s="55"/>
      <c r="U38" s="46"/>
    </row>
    <row r="39" spans="1:21" s="37" customFormat="1" ht="25.5" x14ac:dyDescent="0.2">
      <c r="A39" s="39" t="s">
        <v>64</v>
      </c>
      <c r="B39" s="43"/>
      <c r="C39" s="43"/>
      <c r="D39" s="43">
        <v>22429.23</v>
      </c>
      <c r="E39" s="43">
        <v>76086.210000000006</v>
      </c>
      <c r="F39" s="43"/>
      <c r="G39" s="44"/>
      <c r="H39" s="45"/>
      <c r="I39" s="58"/>
      <c r="J39" s="46"/>
      <c r="K39" s="43"/>
      <c r="L39" s="45"/>
      <c r="M39" s="45"/>
      <c r="N39" s="46"/>
      <c r="O39" s="43"/>
      <c r="P39" s="55"/>
      <c r="Q39" s="46"/>
      <c r="R39" s="43"/>
      <c r="S39" s="55"/>
      <c r="T39" s="55"/>
      <c r="U39" s="46"/>
    </row>
    <row r="40" spans="1:21" s="37" customFormat="1" x14ac:dyDescent="0.2">
      <c r="A40" s="39" t="s">
        <v>65</v>
      </c>
      <c r="B40" s="43"/>
      <c r="C40" s="43"/>
      <c r="D40" s="43">
        <v>64478.93</v>
      </c>
      <c r="E40" s="43"/>
      <c r="F40" s="43"/>
      <c r="G40" s="44"/>
      <c r="H40" s="45"/>
      <c r="I40" s="58">
        <f>15683+2177.01</f>
        <v>17860.010000000002</v>
      </c>
      <c r="J40" s="46">
        <v>100144</v>
      </c>
      <c r="K40" s="43"/>
      <c r="L40" s="45"/>
      <c r="M40" s="45"/>
      <c r="N40" s="46"/>
      <c r="O40" s="43"/>
      <c r="P40" s="55"/>
      <c r="Q40" s="46"/>
      <c r="R40" s="43"/>
      <c r="S40" s="55"/>
      <c r="T40" s="55"/>
      <c r="U40" s="46"/>
    </row>
    <row r="41" spans="1:21" s="37" customFormat="1" x14ac:dyDescent="0.2">
      <c r="A41" s="39" t="s">
        <v>66</v>
      </c>
      <c r="B41" s="43"/>
      <c r="C41" s="43"/>
      <c r="D41" s="43"/>
      <c r="E41" s="43"/>
      <c r="F41" s="43"/>
      <c r="G41" s="44"/>
      <c r="H41" s="45"/>
      <c r="I41" s="58"/>
      <c r="J41" s="46"/>
      <c r="K41" s="43"/>
      <c r="L41" s="45"/>
      <c r="M41" s="45"/>
      <c r="N41" s="46"/>
      <c r="O41" s="43"/>
      <c r="P41" s="55"/>
      <c r="Q41" s="46"/>
      <c r="R41" s="43"/>
      <c r="S41" s="55"/>
      <c r="T41" s="55"/>
      <c r="U41" s="46"/>
    </row>
    <row r="42" spans="1:21" s="37" customFormat="1" x14ac:dyDescent="0.2">
      <c r="A42" s="39" t="s">
        <v>67</v>
      </c>
      <c r="B42" s="43"/>
      <c r="C42" s="43"/>
      <c r="D42" s="43"/>
      <c r="E42" s="43"/>
      <c r="F42" s="43"/>
      <c r="G42" s="44"/>
      <c r="H42" s="45"/>
      <c r="I42" s="58"/>
      <c r="J42" s="46"/>
      <c r="K42" s="43"/>
      <c r="L42" s="45"/>
      <c r="M42" s="45">
        <v>16540</v>
      </c>
      <c r="N42" s="46">
        <v>16540</v>
      </c>
      <c r="O42" s="43"/>
      <c r="P42" s="55"/>
      <c r="Q42" s="46"/>
      <c r="R42" s="43"/>
      <c r="S42" s="55"/>
      <c r="T42" s="55"/>
      <c r="U42" s="46"/>
    </row>
    <row r="43" spans="1:21" s="37" customFormat="1" ht="25.5" x14ac:dyDescent="0.2">
      <c r="A43" s="39" t="s">
        <v>68</v>
      </c>
      <c r="B43" s="43"/>
      <c r="C43" s="43"/>
      <c r="D43" s="43">
        <v>1576.58</v>
      </c>
      <c r="E43" s="43"/>
      <c r="F43" s="43"/>
      <c r="G43" s="44"/>
      <c r="H43" s="45"/>
      <c r="I43" s="58">
        <f>23400+1894.3</f>
        <v>25294.3</v>
      </c>
      <c r="J43" s="46"/>
      <c r="K43" s="43"/>
      <c r="L43" s="45"/>
      <c r="M43" s="45">
        <v>9848.58</v>
      </c>
      <c r="N43" s="46">
        <v>36719.47</v>
      </c>
      <c r="O43" s="43"/>
      <c r="P43" s="55"/>
      <c r="Q43" s="46"/>
      <c r="R43" s="43"/>
      <c r="S43" s="55"/>
      <c r="T43" s="55"/>
      <c r="U43" s="46"/>
    </row>
    <row r="44" spans="1:21" x14ac:dyDescent="0.2">
      <c r="A44" s="16" t="s">
        <v>5</v>
      </c>
      <c r="B44" s="27"/>
      <c r="C44" s="27"/>
      <c r="D44" s="27"/>
      <c r="E44" s="27"/>
      <c r="F44" s="27">
        <v>37193.040000000001</v>
      </c>
      <c r="G44" s="11"/>
      <c r="H44" s="11">
        <v>17174</v>
      </c>
      <c r="I44" s="61"/>
      <c r="J44" s="28"/>
      <c r="K44" s="47"/>
      <c r="L44" s="12">
        <v>50000</v>
      </c>
      <c r="M44" s="12"/>
      <c r="N44" s="33"/>
      <c r="O44" s="36">
        <v>50000</v>
      </c>
      <c r="P44" s="65"/>
      <c r="Q44" s="33"/>
      <c r="R44" s="43">
        <v>382334</v>
      </c>
      <c r="S44" s="55"/>
      <c r="T44" s="55"/>
      <c r="U44" s="46"/>
    </row>
    <row r="45" spans="1:21" x14ac:dyDescent="0.2">
      <c r="A45" s="16" t="s">
        <v>2</v>
      </c>
      <c r="B45" s="23"/>
      <c r="C45" s="23"/>
      <c r="D45" s="23"/>
      <c r="E45" s="23"/>
      <c r="F45" s="23">
        <v>71.91</v>
      </c>
      <c r="G45" s="6"/>
      <c r="H45" s="6">
        <v>2760</v>
      </c>
      <c r="I45" s="59"/>
      <c r="J45" s="24"/>
      <c r="K45" s="47"/>
      <c r="L45" s="9">
        <v>9940</v>
      </c>
      <c r="M45" s="9"/>
      <c r="N45" s="34"/>
      <c r="O45" s="23">
        <v>60448</v>
      </c>
      <c r="P45" s="56"/>
      <c r="Q45" s="24"/>
      <c r="R45" s="23">
        <v>220000</v>
      </c>
      <c r="S45" s="56"/>
      <c r="T45" s="56"/>
      <c r="U45" s="24"/>
    </row>
    <row r="46" spans="1:21" x14ac:dyDescent="0.2">
      <c r="A46" s="16" t="s">
        <v>3</v>
      </c>
      <c r="B46" s="23"/>
      <c r="C46" s="23"/>
      <c r="D46" s="23"/>
      <c r="E46" s="23"/>
      <c r="F46" s="23"/>
      <c r="G46" s="6"/>
      <c r="H46" s="104">
        <v>22000</v>
      </c>
      <c r="I46" s="59"/>
      <c r="J46" s="24"/>
      <c r="K46" s="47"/>
      <c r="L46" s="105">
        <v>13215</v>
      </c>
      <c r="M46" s="7"/>
      <c r="N46" s="32"/>
      <c r="O46" s="23"/>
      <c r="P46" s="56"/>
      <c r="Q46" s="24"/>
      <c r="R46" s="23"/>
      <c r="S46" s="56"/>
      <c r="T46" s="56"/>
      <c r="U46" s="24"/>
    </row>
    <row r="47" spans="1:21" x14ac:dyDescent="0.2">
      <c r="A47" s="16" t="s">
        <v>1</v>
      </c>
      <c r="B47" s="23"/>
      <c r="C47" s="23"/>
      <c r="D47" s="23"/>
      <c r="E47" s="23"/>
      <c r="F47" s="23"/>
      <c r="G47" s="6"/>
      <c r="H47" s="6"/>
      <c r="I47" s="59"/>
      <c r="J47" s="24"/>
      <c r="K47" s="35"/>
      <c r="L47" s="7"/>
      <c r="M47" s="7"/>
      <c r="N47" s="32"/>
      <c r="O47" s="23">
        <v>30000</v>
      </c>
      <c r="P47" s="56"/>
      <c r="Q47" s="24"/>
      <c r="R47" s="23">
        <v>65000</v>
      </c>
      <c r="S47" s="56"/>
      <c r="T47" s="56"/>
      <c r="U47" s="24"/>
    </row>
    <row r="48" spans="1:21" x14ac:dyDescent="0.2">
      <c r="A48" s="16" t="s">
        <v>4</v>
      </c>
      <c r="B48" s="23"/>
      <c r="C48" s="23"/>
      <c r="D48" s="23"/>
      <c r="E48" s="23"/>
      <c r="F48" s="23"/>
      <c r="G48" s="6"/>
      <c r="H48" s="104">
        <v>25000</v>
      </c>
      <c r="I48" s="59"/>
      <c r="J48" s="24"/>
      <c r="K48" s="47"/>
      <c r="L48" s="105">
        <v>70000</v>
      </c>
      <c r="M48" s="7"/>
      <c r="N48" s="32"/>
      <c r="O48" s="23"/>
      <c r="P48" s="56"/>
      <c r="Q48" s="24"/>
      <c r="R48" s="23"/>
      <c r="S48" s="56"/>
      <c r="T48" s="56"/>
      <c r="U48" s="24"/>
    </row>
    <row r="49" spans="1:21" s="8" customFormat="1" x14ac:dyDescent="0.2">
      <c r="A49" s="17" t="s">
        <v>27</v>
      </c>
      <c r="B49" s="25">
        <f t="shared" ref="B49:R49" si="1">SUM(B35:B48)</f>
        <v>0</v>
      </c>
      <c r="C49" s="25">
        <f t="shared" si="1"/>
        <v>0</v>
      </c>
      <c r="D49" s="25">
        <f t="shared" si="1"/>
        <v>110050.73</v>
      </c>
      <c r="E49" s="25">
        <f t="shared" si="1"/>
        <v>98139.510000000009</v>
      </c>
      <c r="F49" s="25">
        <f t="shared" si="1"/>
        <v>37264.950000000004</v>
      </c>
      <c r="G49" s="1">
        <f t="shared" si="1"/>
        <v>0</v>
      </c>
      <c r="H49" s="1">
        <f t="shared" si="1"/>
        <v>66934</v>
      </c>
      <c r="I49" s="60">
        <f t="shared" si="1"/>
        <v>49552.869999999995</v>
      </c>
      <c r="J49" s="63">
        <f t="shared" si="1"/>
        <v>152275.70000000001</v>
      </c>
      <c r="K49" s="25">
        <f t="shared" si="1"/>
        <v>0</v>
      </c>
      <c r="L49" s="1">
        <f t="shared" si="1"/>
        <v>143155</v>
      </c>
      <c r="M49" s="1">
        <f t="shared" si="1"/>
        <v>26388.58</v>
      </c>
      <c r="N49" s="26">
        <f t="shared" si="1"/>
        <v>53259.47</v>
      </c>
      <c r="O49" s="25">
        <f t="shared" si="1"/>
        <v>140448</v>
      </c>
      <c r="P49" s="15">
        <f t="shared" si="1"/>
        <v>0</v>
      </c>
      <c r="Q49" s="26">
        <f t="shared" si="1"/>
        <v>0</v>
      </c>
      <c r="R49" s="25">
        <f t="shared" si="1"/>
        <v>667334</v>
      </c>
      <c r="S49" s="15"/>
      <c r="T49" s="15">
        <f>SUM(T35:T48)</f>
        <v>0</v>
      </c>
      <c r="U49" s="26">
        <f>SUM(U35:U48)</f>
        <v>0</v>
      </c>
    </row>
    <row r="50" spans="1:21" s="37" customFormat="1" ht="25.5" x14ac:dyDescent="0.2">
      <c r="A50" s="40" t="s">
        <v>69</v>
      </c>
      <c r="B50" s="43"/>
      <c r="C50" s="43"/>
      <c r="D50" s="43">
        <v>12148.69</v>
      </c>
      <c r="E50" s="43"/>
      <c r="F50" s="43"/>
      <c r="G50" s="44"/>
      <c r="H50" s="45"/>
      <c r="I50" s="58">
        <f>10049+2355.75</f>
        <v>12404.75</v>
      </c>
      <c r="J50" s="46"/>
      <c r="K50" s="43"/>
      <c r="L50" s="45"/>
      <c r="M50" s="45"/>
      <c r="N50" s="46">
        <v>24553.439999999999</v>
      </c>
      <c r="O50" s="43"/>
      <c r="P50" s="55"/>
      <c r="Q50" s="46"/>
      <c r="R50" s="43"/>
      <c r="S50" s="55"/>
      <c r="T50" s="55"/>
      <c r="U50" s="46"/>
    </row>
    <row r="51" spans="1:21" s="37" customFormat="1" x14ac:dyDescent="0.2">
      <c r="A51" s="40" t="s">
        <v>70</v>
      </c>
      <c r="B51" s="43"/>
      <c r="C51" s="43"/>
      <c r="D51" s="43">
        <v>5289.39</v>
      </c>
      <c r="E51" s="43"/>
      <c r="F51" s="43"/>
      <c r="G51" s="44"/>
      <c r="H51" s="45"/>
      <c r="I51" s="58">
        <f>6604+1011.92</f>
        <v>7615.92</v>
      </c>
      <c r="J51" s="46"/>
      <c r="K51" s="43"/>
      <c r="L51" s="45"/>
      <c r="M51" s="45"/>
      <c r="N51" s="46">
        <v>12905.31</v>
      </c>
      <c r="O51" s="43"/>
      <c r="P51" s="55"/>
      <c r="Q51" s="46"/>
      <c r="R51" s="43"/>
      <c r="S51" s="55"/>
      <c r="T51" s="55"/>
      <c r="U51" s="46"/>
    </row>
    <row r="52" spans="1:21" s="37" customFormat="1" ht="25.5" x14ac:dyDescent="0.2">
      <c r="A52" s="40" t="s">
        <v>71</v>
      </c>
      <c r="B52" s="43"/>
      <c r="C52" s="43"/>
      <c r="D52" s="43">
        <v>9693.66</v>
      </c>
      <c r="E52" s="43"/>
      <c r="F52" s="43"/>
      <c r="G52" s="44"/>
      <c r="H52" s="45"/>
      <c r="I52" s="58">
        <f>9172+2111.11</f>
        <v>11283.11</v>
      </c>
      <c r="J52" s="46"/>
      <c r="K52" s="43"/>
      <c r="L52" s="45"/>
      <c r="M52" s="45"/>
      <c r="N52" s="46">
        <v>20976.77</v>
      </c>
      <c r="O52" s="43"/>
      <c r="P52" s="55"/>
      <c r="Q52" s="46"/>
      <c r="R52" s="43"/>
      <c r="S52" s="55"/>
      <c r="T52" s="55"/>
      <c r="U52" s="46"/>
    </row>
    <row r="53" spans="1:21" s="37" customFormat="1" ht="25.5" x14ac:dyDescent="0.2">
      <c r="A53" s="40" t="s">
        <v>72</v>
      </c>
      <c r="B53" s="43"/>
      <c r="C53" s="43"/>
      <c r="D53" s="43"/>
      <c r="E53" s="43"/>
      <c r="F53" s="43"/>
      <c r="G53" s="44"/>
      <c r="H53" s="45"/>
      <c r="I53" s="58">
        <v>17386</v>
      </c>
      <c r="J53" s="46"/>
      <c r="K53" s="43"/>
      <c r="L53" s="45"/>
      <c r="M53" s="45">
        <v>14103</v>
      </c>
      <c r="N53" s="46"/>
      <c r="O53" s="43"/>
      <c r="P53" s="55"/>
      <c r="Q53" s="46">
        <v>31489</v>
      </c>
      <c r="R53" s="43"/>
      <c r="S53" s="55"/>
      <c r="T53" s="55"/>
      <c r="U53" s="46"/>
    </row>
    <row r="54" spans="1:21" s="37" customFormat="1" x14ac:dyDescent="0.2">
      <c r="A54" s="40" t="s">
        <v>73</v>
      </c>
      <c r="B54" s="43"/>
      <c r="C54" s="43"/>
      <c r="D54" s="43"/>
      <c r="E54" s="43"/>
      <c r="F54" s="43"/>
      <c r="G54" s="44"/>
      <c r="H54" s="45">
        <v>74216</v>
      </c>
      <c r="I54" s="58">
        <v>26568</v>
      </c>
      <c r="J54" s="46"/>
      <c r="K54" s="43"/>
      <c r="L54" s="89">
        <v>41359</v>
      </c>
      <c r="M54" s="95">
        <v>21641</v>
      </c>
      <c r="N54" s="46"/>
      <c r="O54" s="98">
        <v>61637</v>
      </c>
      <c r="P54" s="99">
        <v>0</v>
      </c>
      <c r="Q54" s="46">
        <v>48209</v>
      </c>
      <c r="R54" s="43"/>
      <c r="S54" s="55"/>
      <c r="T54" s="55"/>
      <c r="U54" s="46"/>
    </row>
    <row r="55" spans="1:21" s="37" customFormat="1" ht="25.5" x14ac:dyDescent="0.2">
      <c r="A55" s="40" t="s">
        <v>74</v>
      </c>
      <c r="B55" s="43"/>
      <c r="C55" s="43"/>
      <c r="D55" s="43"/>
      <c r="E55" s="43"/>
      <c r="F55" s="43"/>
      <c r="G55" s="44"/>
      <c r="H55" s="45">
        <v>35734</v>
      </c>
      <c r="I55" s="58">
        <v>4016</v>
      </c>
      <c r="J55" s="46"/>
      <c r="K55" s="43"/>
      <c r="L55" s="45">
        <v>25770</v>
      </c>
      <c r="M55" s="45"/>
      <c r="N55" s="97">
        <v>0</v>
      </c>
      <c r="O55" s="43"/>
      <c r="P55" s="55"/>
      <c r="Q55" s="97">
        <v>4016</v>
      </c>
      <c r="R55" s="43"/>
      <c r="S55" s="55"/>
      <c r="T55" s="55"/>
      <c r="U55" s="46"/>
    </row>
    <row r="56" spans="1:21" s="37" customFormat="1" ht="15" x14ac:dyDescent="0.25">
      <c r="A56" s="40" t="s">
        <v>75</v>
      </c>
      <c r="B56" s="43"/>
      <c r="C56" s="43"/>
      <c r="D56" s="43"/>
      <c r="E56" s="43"/>
      <c r="F56" s="43"/>
      <c r="G56" s="44"/>
      <c r="H56" s="45"/>
      <c r="I56" s="58">
        <v>13340</v>
      </c>
      <c r="J56" s="46"/>
      <c r="K56" s="43"/>
      <c r="L56" s="45"/>
      <c r="M56" s="103">
        <v>6767</v>
      </c>
      <c r="N56" s="46"/>
      <c r="O56" s="43"/>
      <c r="P56" s="55"/>
      <c r="Q56" s="46">
        <v>20107</v>
      </c>
      <c r="R56" s="43"/>
      <c r="S56" s="55"/>
      <c r="T56" s="55"/>
      <c r="U56" s="46"/>
    </row>
    <row r="57" spans="1:21" s="37" customFormat="1" x14ac:dyDescent="0.2">
      <c r="A57" s="40" t="s">
        <v>76</v>
      </c>
      <c r="B57" s="43"/>
      <c r="C57" s="43"/>
      <c r="D57" s="43"/>
      <c r="E57" s="43"/>
      <c r="F57" s="43"/>
      <c r="G57" s="44"/>
      <c r="H57" s="45"/>
      <c r="I57" s="58"/>
      <c r="J57" s="46"/>
      <c r="K57" s="43"/>
      <c r="L57" s="45"/>
      <c r="M57" s="9">
        <v>1750</v>
      </c>
      <c r="N57" s="46"/>
      <c r="O57" s="43"/>
      <c r="P57" s="55">
        <v>1750</v>
      </c>
      <c r="Q57" s="46">
        <v>3500</v>
      </c>
      <c r="R57" s="43"/>
      <c r="S57" s="55"/>
      <c r="T57" s="55"/>
      <c r="U57" s="46"/>
    </row>
    <row r="58" spans="1:21" ht="25.5" x14ac:dyDescent="0.2">
      <c r="A58" s="87" t="s">
        <v>23</v>
      </c>
      <c r="B58" s="23"/>
      <c r="C58" s="23"/>
      <c r="D58" s="23"/>
      <c r="E58" s="23"/>
      <c r="F58" s="23">
        <v>38.97</v>
      </c>
      <c r="G58" s="6"/>
      <c r="H58" s="91">
        <v>28230</v>
      </c>
      <c r="I58" s="92">
        <v>52500</v>
      </c>
      <c r="J58" s="93">
        <v>0</v>
      </c>
      <c r="K58" s="47"/>
      <c r="L58" s="91">
        <v>187500</v>
      </c>
      <c r="M58" s="94">
        <v>12500</v>
      </c>
      <c r="N58" s="93">
        <v>65000</v>
      </c>
      <c r="O58" s="106">
        <v>90531</v>
      </c>
      <c r="P58" s="56"/>
      <c r="Q58" s="24"/>
      <c r="R58" s="23"/>
      <c r="S58" s="56"/>
      <c r="T58" s="56"/>
      <c r="U58" s="24"/>
    </row>
    <row r="59" spans="1:21" x14ac:dyDescent="0.2">
      <c r="A59" s="18" t="s">
        <v>151</v>
      </c>
      <c r="B59" s="23"/>
      <c r="C59" s="23"/>
      <c r="D59" s="23"/>
      <c r="E59" s="23"/>
      <c r="F59" s="23"/>
      <c r="G59" s="6"/>
      <c r="H59" s="6">
        <v>10000</v>
      </c>
      <c r="I59" s="59"/>
      <c r="J59" s="24"/>
      <c r="K59" s="47"/>
      <c r="L59" s="6"/>
      <c r="M59" s="62"/>
      <c r="N59" s="24"/>
      <c r="O59" s="23"/>
      <c r="P59" s="56"/>
      <c r="Q59" s="24"/>
      <c r="R59" s="23"/>
      <c r="S59" s="56"/>
      <c r="T59" s="56"/>
      <c r="U59" s="24"/>
    </row>
    <row r="60" spans="1:21" x14ac:dyDescent="0.2">
      <c r="A60" s="18" t="s">
        <v>24</v>
      </c>
      <c r="B60" s="23"/>
      <c r="C60" s="23"/>
      <c r="D60" s="23"/>
      <c r="E60" s="23"/>
      <c r="F60" s="23"/>
      <c r="G60" s="6"/>
      <c r="H60" s="6">
        <v>30452</v>
      </c>
      <c r="I60" s="59"/>
      <c r="J60" s="24"/>
      <c r="K60" s="47"/>
      <c r="L60" s="6">
        <v>62206</v>
      </c>
      <c r="M60" s="58">
        <v>37794</v>
      </c>
      <c r="N60" s="46">
        <v>37794</v>
      </c>
      <c r="O60" s="23">
        <v>25698</v>
      </c>
      <c r="P60" s="56"/>
      <c r="Q60" s="24"/>
      <c r="R60" s="23"/>
      <c r="S60" s="56"/>
      <c r="T60" s="56"/>
      <c r="U60" s="24"/>
    </row>
    <row r="61" spans="1:21" ht="25.5" x14ac:dyDescent="0.2">
      <c r="A61" s="18" t="s">
        <v>160</v>
      </c>
      <c r="B61" s="23"/>
      <c r="C61" s="23"/>
      <c r="D61" s="23"/>
      <c r="E61" s="23"/>
      <c r="F61" s="23"/>
      <c r="G61" s="6"/>
      <c r="H61" s="6">
        <v>7800</v>
      </c>
      <c r="I61" s="59"/>
      <c r="J61" s="24"/>
      <c r="K61" s="47"/>
      <c r="L61" s="6">
        <v>5700</v>
      </c>
      <c r="M61" s="7"/>
      <c r="N61" s="24"/>
      <c r="O61" s="23"/>
      <c r="P61" s="56"/>
      <c r="Q61" s="24"/>
      <c r="R61" s="23"/>
      <c r="S61" s="56"/>
      <c r="T61" s="56"/>
      <c r="U61" s="24"/>
    </row>
    <row r="62" spans="1:21" s="8" customFormat="1" x14ac:dyDescent="0.2">
      <c r="A62" s="17" t="s">
        <v>30</v>
      </c>
      <c r="B62" s="25">
        <f t="shared" ref="B62:U62" si="2">SUM(B50:B61)</f>
        <v>0</v>
      </c>
      <c r="C62" s="25">
        <f t="shared" si="2"/>
        <v>0</v>
      </c>
      <c r="D62" s="25">
        <f t="shared" si="2"/>
        <v>27131.74</v>
      </c>
      <c r="E62" s="25">
        <f t="shared" si="2"/>
        <v>0</v>
      </c>
      <c r="F62" s="25">
        <f t="shared" si="2"/>
        <v>38.97</v>
      </c>
      <c r="G62" s="25">
        <f t="shared" si="2"/>
        <v>0</v>
      </c>
      <c r="H62" s="25">
        <f t="shared" si="2"/>
        <v>186432</v>
      </c>
      <c r="I62" s="25">
        <f t="shared" si="2"/>
        <v>145113.78</v>
      </c>
      <c r="J62" s="25">
        <f t="shared" si="2"/>
        <v>0</v>
      </c>
      <c r="K62" s="25">
        <f t="shared" si="2"/>
        <v>0</v>
      </c>
      <c r="L62" s="25">
        <f t="shared" si="2"/>
        <v>322535</v>
      </c>
      <c r="M62" s="25">
        <f t="shared" si="2"/>
        <v>94555</v>
      </c>
      <c r="N62" s="25">
        <f t="shared" si="2"/>
        <v>161229.52000000002</v>
      </c>
      <c r="O62" s="25">
        <f t="shared" si="2"/>
        <v>177866</v>
      </c>
      <c r="P62" s="25">
        <f t="shared" si="2"/>
        <v>1750</v>
      </c>
      <c r="Q62" s="25">
        <f t="shared" si="2"/>
        <v>107321</v>
      </c>
      <c r="R62" s="25">
        <f t="shared" si="2"/>
        <v>0</v>
      </c>
      <c r="S62" s="25">
        <f t="shared" si="2"/>
        <v>0</v>
      </c>
      <c r="T62" s="25">
        <f t="shared" si="2"/>
        <v>0</v>
      </c>
      <c r="U62" s="25">
        <f t="shared" si="2"/>
        <v>0</v>
      </c>
    </row>
    <row r="63" spans="1:21" s="37" customFormat="1" x14ac:dyDescent="0.2">
      <c r="A63" s="38" t="s">
        <v>102</v>
      </c>
      <c r="B63" s="43"/>
      <c r="C63" s="43"/>
      <c r="D63" s="43"/>
      <c r="E63" s="43"/>
      <c r="F63" s="43"/>
      <c r="G63" s="44"/>
      <c r="H63" s="45"/>
      <c r="I63" s="58"/>
      <c r="J63" s="46"/>
      <c r="K63" s="43"/>
      <c r="L63" s="45"/>
      <c r="M63" s="58">
        <v>6000</v>
      </c>
      <c r="N63" s="46"/>
      <c r="O63" s="43"/>
      <c r="P63" s="55">
        <v>14200</v>
      </c>
      <c r="Q63" s="46">
        <v>20200</v>
      </c>
      <c r="R63" s="43"/>
      <c r="S63" s="55"/>
      <c r="T63" s="55"/>
      <c r="U63" s="46"/>
    </row>
    <row r="64" spans="1:21" s="37" customFormat="1" x14ac:dyDescent="0.2">
      <c r="A64" s="38" t="s">
        <v>103</v>
      </c>
      <c r="B64" s="43"/>
      <c r="C64" s="43"/>
      <c r="D64" s="43">
        <v>1730.77</v>
      </c>
      <c r="E64" s="43"/>
      <c r="F64" s="43"/>
      <c r="G64" s="44"/>
      <c r="H64" s="45"/>
      <c r="I64" s="58">
        <f>4250+509.3</f>
        <v>4759.3</v>
      </c>
      <c r="J64" s="46">
        <v>6490</v>
      </c>
      <c r="K64" s="43"/>
      <c r="L64" s="45"/>
      <c r="M64" s="58"/>
      <c r="N64" s="46"/>
      <c r="O64" s="43"/>
      <c r="P64" s="55"/>
      <c r="Q64" s="46"/>
      <c r="R64" s="43"/>
      <c r="S64" s="55"/>
      <c r="T64" s="55"/>
      <c r="U64" s="46"/>
    </row>
    <row r="65" spans="1:21" s="37" customFormat="1" x14ac:dyDescent="0.2">
      <c r="A65" s="38" t="s">
        <v>104</v>
      </c>
      <c r="B65" s="43"/>
      <c r="C65" s="43"/>
      <c r="D65" s="43">
        <v>2331.21</v>
      </c>
      <c r="E65" s="43"/>
      <c r="F65" s="43"/>
      <c r="G65" s="44"/>
      <c r="H65" s="45"/>
      <c r="I65" s="58">
        <f>15750+9418.78</f>
        <v>25168.78</v>
      </c>
      <c r="J65" s="46">
        <v>27500</v>
      </c>
      <c r="K65" s="43"/>
      <c r="L65" s="45"/>
      <c r="M65" s="58"/>
      <c r="N65" s="46"/>
      <c r="O65" s="43"/>
      <c r="P65" s="55"/>
      <c r="Q65" s="46"/>
      <c r="R65" s="43"/>
      <c r="S65" s="55"/>
      <c r="T65" s="55"/>
      <c r="U65" s="46"/>
    </row>
    <row r="66" spans="1:21" s="37" customFormat="1" x14ac:dyDescent="0.2">
      <c r="A66" s="38" t="s">
        <v>105</v>
      </c>
      <c r="B66" s="43"/>
      <c r="C66" s="43"/>
      <c r="D66" s="43">
        <v>3264.72</v>
      </c>
      <c r="E66" s="43"/>
      <c r="F66" s="43"/>
      <c r="G66" s="44"/>
      <c r="H66" s="45"/>
      <c r="I66" s="58">
        <f>2169+2175.17</f>
        <v>4344.17</v>
      </c>
      <c r="J66" s="46">
        <v>7500</v>
      </c>
      <c r="K66" s="43"/>
      <c r="L66" s="45"/>
      <c r="M66" s="58"/>
      <c r="N66" s="46"/>
      <c r="O66" s="43"/>
      <c r="P66" s="55"/>
      <c r="Q66" s="46"/>
      <c r="R66" s="43"/>
      <c r="S66" s="55"/>
      <c r="T66" s="55"/>
      <c r="U66" s="46"/>
    </row>
    <row r="67" spans="1:21" s="37" customFormat="1" ht="25.5" x14ac:dyDescent="0.2">
      <c r="A67" s="38" t="s">
        <v>106</v>
      </c>
      <c r="B67" s="43"/>
      <c r="C67" s="43"/>
      <c r="D67" s="43">
        <v>1152.77</v>
      </c>
      <c r="E67" s="43"/>
      <c r="F67" s="43"/>
      <c r="G67" s="44"/>
      <c r="H67" s="45"/>
      <c r="I67" s="58">
        <v>6347.22</v>
      </c>
      <c r="J67" s="46">
        <v>7500</v>
      </c>
      <c r="K67" s="43"/>
      <c r="L67" s="45"/>
      <c r="M67" s="58"/>
      <c r="N67" s="46"/>
      <c r="O67" s="43"/>
      <c r="P67" s="55"/>
      <c r="Q67" s="46"/>
      <c r="R67" s="43"/>
      <c r="S67" s="55"/>
      <c r="T67" s="55"/>
      <c r="U67" s="46"/>
    </row>
    <row r="68" spans="1:21" s="37" customFormat="1" x14ac:dyDescent="0.2">
      <c r="A68" s="38" t="s">
        <v>107</v>
      </c>
      <c r="B68" s="43"/>
      <c r="C68" s="43"/>
      <c r="D68" s="43"/>
      <c r="E68" s="43"/>
      <c r="F68" s="43"/>
      <c r="G68" s="44"/>
      <c r="H68" s="45">
        <v>0</v>
      </c>
      <c r="I68" s="96">
        <v>0</v>
      </c>
      <c r="J68" s="46"/>
      <c r="K68" s="43"/>
      <c r="L68" s="45"/>
      <c r="M68" s="96">
        <v>2500</v>
      </c>
      <c r="N68" s="46"/>
      <c r="O68" s="43"/>
      <c r="P68" s="99">
        <v>15930</v>
      </c>
      <c r="Q68" s="46">
        <v>18430</v>
      </c>
      <c r="R68" s="43"/>
      <c r="S68" s="55"/>
      <c r="T68" s="55"/>
      <c r="U68" s="46"/>
    </row>
    <row r="69" spans="1:21" s="37" customFormat="1" x14ac:dyDescent="0.2">
      <c r="A69" s="38" t="s">
        <v>108</v>
      </c>
      <c r="B69" s="43"/>
      <c r="C69" s="43"/>
      <c r="D69" s="43"/>
      <c r="E69" s="43"/>
      <c r="F69" s="43"/>
      <c r="G69" s="44"/>
      <c r="H69" s="45">
        <v>0</v>
      </c>
      <c r="I69" s="58">
        <v>0</v>
      </c>
      <c r="J69" s="46"/>
      <c r="K69" s="43"/>
      <c r="L69" s="45"/>
      <c r="M69" s="58">
        <v>4200</v>
      </c>
      <c r="N69" s="46"/>
      <c r="O69" s="43"/>
      <c r="P69" s="55">
        <v>12400</v>
      </c>
      <c r="Q69" s="46">
        <v>16600</v>
      </c>
      <c r="R69" s="43"/>
      <c r="S69" s="55"/>
      <c r="T69" s="55"/>
      <c r="U69" s="46"/>
    </row>
    <row r="70" spans="1:21" s="37" customFormat="1" ht="25.5" x14ac:dyDescent="0.2">
      <c r="A70" s="39" t="s">
        <v>77</v>
      </c>
      <c r="B70" s="43"/>
      <c r="C70" s="43"/>
      <c r="D70" s="43"/>
      <c r="E70" s="43">
        <v>15545.26</v>
      </c>
      <c r="F70" s="43"/>
      <c r="G70" s="44"/>
      <c r="H70" s="45"/>
      <c r="I70" s="58"/>
      <c r="J70" s="46"/>
      <c r="K70" s="43"/>
      <c r="L70" s="45"/>
      <c r="M70" s="58"/>
      <c r="N70" s="46"/>
      <c r="O70" s="43"/>
      <c r="P70" s="55"/>
      <c r="Q70" s="46"/>
      <c r="R70" s="43"/>
      <c r="S70" s="55"/>
      <c r="T70" s="55"/>
      <c r="U70" s="46"/>
    </row>
    <row r="71" spans="1:21" s="37" customFormat="1" ht="25.5" x14ac:dyDescent="0.2">
      <c r="A71" s="39" t="s">
        <v>79</v>
      </c>
      <c r="B71" s="43"/>
      <c r="C71" s="43"/>
      <c r="D71" s="43">
        <v>1156.56</v>
      </c>
      <c r="E71" s="43">
        <v>11447.35</v>
      </c>
      <c r="F71" s="43"/>
      <c r="G71" s="44"/>
      <c r="H71" s="45"/>
      <c r="I71" s="58"/>
      <c r="J71" s="46"/>
      <c r="K71" s="43"/>
      <c r="L71" s="45"/>
      <c r="M71" s="58"/>
      <c r="N71" s="46"/>
      <c r="O71" s="43"/>
      <c r="P71" s="55"/>
      <c r="Q71" s="46"/>
      <c r="R71" s="43"/>
      <c r="S71" s="55"/>
      <c r="T71" s="55"/>
      <c r="U71" s="46"/>
    </row>
    <row r="72" spans="1:21" s="37" customFormat="1" x14ac:dyDescent="0.2">
      <c r="A72" s="39" t="s">
        <v>78</v>
      </c>
      <c r="B72" s="43"/>
      <c r="C72" s="43"/>
      <c r="D72" s="43"/>
      <c r="E72" s="43"/>
      <c r="F72" s="43"/>
      <c r="G72" s="44"/>
      <c r="H72" s="45"/>
      <c r="I72" s="58"/>
      <c r="J72" s="46"/>
      <c r="K72" s="43"/>
      <c r="L72" s="45"/>
      <c r="M72" s="58"/>
      <c r="N72" s="46"/>
      <c r="O72" s="43"/>
      <c r="P72" s="55"/>
      <c r="Q72" s="46"/>
      <c r="R72" s="43"/>
      <c r="S72" s="55"/>
      <c r="T72" s="55"/>
      <c r="U72" s="46"/>
    </row>
    <row r="73" spans="1:21" s="37" customFormat="1" x14ac:dyDescent="0.2">
      <c r="A73" s="39" t="s">
        <v>80</v>
      </c>
      <c r="B73" s="43"/>
      <c r="C73" s="43"/>
      <c r="D73" s="43">
        <v>2148.46</v>
      </c>
      <c r="E73" s="43"/>
      <c r="F73" s="43"/>
      <c r="G73" s="44"/>
      <c r="H73" s="45"/>
      <c r="I73" s="58">
        <f>5292+3701.2</f>
        <v>8993.2000000000007</v>
      </c>
      <c r="J73" s="46">
        <v>11142</v>
      </c>
      <c r="K73" s="43"/>
      <c r="L73" s="45"/>
      <c r="M73" s="58"/>
      <c r="N73" s="46"/>
      <c r="O73" s="43"/>
      <c r="P73" s="55"/>
      <c r="Q73" s="46"/>
      <c r="R73" s="43"/>
      <c r="S73" s="55"/>
      <c r="T73" s="55"/>
      <c r="U73" s="46"/>
    </row>
    <row r="74" spans="1:21" s="37" customFormat="1" ht="25.5" x14ac:dyDescent="0.2">
      <c r="A74" s="39" t="s">
        <v>81</v>
      </c>
      <c r="B74" s="43"/>
      <c r="C74" s="43"/>
      <c r="D74" s="43"/>
      <c r="E74" s="43"/>
      <c r="F74" s="43"/>
      <c r="G74" s="44"/>
      <c r="H74" s="45"/>
      <c r="I74" s="58"/>
      <c r="J74" s="46"/>
      <c r="K74" s="43"/>
      <c r="L74" s="45"/>
      <c r="M74" s="58">
        <v>3473</v>
      </c>
      <c r="N74" s="46"/>
      <c r="O74" s="43"/>
      <c r="P74" s="55"/>
      <c r="Q74" s="46">
        <v>3473</v>
      </c>
      <c r="R74" s="43"/>
      <c r="S74" s="55"/>
      <c r="T74" s="55"/>
      <c r="U74" s="46"/>
    </row>
    <row r="75" spans="1:21" s="37" customFormat="1" x14ac:dyDescent="0.2">
      <c r="A75" s="39" t="s">
        <v>82</v>
      </c>
      <c r="B75" s="43"/>
      <c r="C75" s="43"/>
      <c r="D75" s="43"/>
      <c r="E75" s="43"/>
      <c r="F75" s="43"/>
      <c r="G75" s="44"/>
      <c r="H75" s="45"/>
      <c r="I75" s="58"/>
      <c r="J75" s="46"/>
      <c r="K75" s="43"/>
      <c r="L75" s="45"/>
      <c r="M75" s="58">
        <v>4096</v>
      </c>
      <c r="N75" s="46"/>
      <c r="O75" s="43"/>
      <c r="P75" s="55"/>
      <c r="Q75" s="46">
        <v>4096</v>
      </c>
      <c r="R75" s="43"/>
      <c r="S75" s="55"/>
      <c r="T75" s="55"/>
      <c r="U75" s="46"/>
    </row>
    <row r="76" spans="1:21" s="37" customFormat="1" x14ac:dyDescent="0.2">
      <c r="A76" s="39" t="s">
        <v>83</v>
      </c>
      <c r="B76" s="43"/>
      <c r="C76" s="43"/>
      <c r="D76" s="43"/>
      <c r="E76" s="43"/>
      <c r="F76" s="43"/>
      <c r="G76" s="44"/>
      <c r="H76" s="45"/>
      <c r="I76" s="58"/>
      <c r="J76" s="46"/>
      <c r="K76" s="43"/>
      <c r="L76" s="45"/>
      <c r="M76" s="58">
        <v>3819</v>
      </c>
      <c r="N76" s="46"/>
      <c r="O76" s="43"/>
      <c r="P76" s="55"/>
      <c r="Q76" s="46">
        <v>3819</v>
      </c>
      <c r="R76" s="43"/>
      <c r="S76" s="55"/>
      <c r="T76" s="55"/>
      <c r="U76" s="46"/>
    </row>
    <row r="77" spans="1:21" s="37" customFormat="1" x14ac:dyDescent="0.2">
      <c r="A77" s="39" t="s">
        <v>84</v>
      </c>
      <c r="B77" s="43"/>
      <c r="C77" s="43"/>
      <c r="D77" s="43"/>
      <c r="E77" s="43"/>
      <c r="F77" s="43"/>
      <c r="G77" s="44"/>
      <c r="H77" s="45"/>
      <c r="I77" s="58"/>
      <c r="J77" s="46"/>
      <c r="K77" s="43"/>
      <c r="L77" s="45"/>
      <c r="M77" s="58">
        <v>7264</v>
      </c>
      <c r="N77" s="46"/>
      <c r="O77" s="43"/>
      <c r="P77" s="55"/>
      <c r="Q77" s="46">
        <v>7264</v>
      </c>
      <c r="R77" s="43"/>
      <c r="S77" s="55"/>
      <c r="T77" s="55"/>
      <c r="U77" s="46"/>
    </row>
    <row r="78" spans="1:21" s="37" customFormat="1" x14ac:dyDescent="0.2">
      <c r="A78" s="39" t="s">
        <v>85</v>
      </c>
      <c r="B78" s="43"/>
      <c r="C78" s="43"/>
      <c r="D78" s="43"/>
      <c r="E78" s="43"/>
      <c r="F78" s="43"/>
      <c r="G78" s="44"/>
      <c r="H78" s="45"/>
      <c r="I78" s="58"/>
      <c r="J78" s="46"/>
      <c r="K78" s="43"/>
      <c r="L78" s="45"/>
      <c r="M78" s="58">
        <v>12270</v>
      </c>
      <c r="N78" s="46"/>
      <c r="O78" s="43"/>
      <c r="P78" s="55"/>
      <c r="Q78" s="46">
        <v>12270</v>
      </c>
      <c r="R78" s="43"/>
      <c r="S78" s="55"/>
      <c r="T78" s="55"/>
      <c r="U78" s="46"/>
    </row>
    <row r="79" spans="1:21" s="37" customFormat="1" x14ac:dyDescent="0.2">
      <c r="A79" s="39" t="s">
        <v>86</v>
      </c>
      <c r="B79" s="43"/>
      <c r="C79" s="43"/>
      <c r="D79" s="43"/>
      <c r="E79" s="43"/>
      <c r="F79" s="43"/>
      <c r="G79" s="44"/>
      <c r="H79" s="45"/>
      <c r="I79" s="58"/>
      <c r="J79" s="46"/>
      <c r="K79" s="43"/>
      <c r="L79" s="45"/>
      <c r="M79" s="58">
        <v>1561</v>
      </c>
      <c r="N79" s="46"/>
      <c r="O79" s="43"/>
      <c r="P79" s="55"/>
      <c r="Q79" s="46">
        <v>1561</v>
      </c>
      <c r="R79" s="43"/>
      <c r="S79" s="55"/>
      <c r="T79" s="55"/>
      <c r="U79" s="46"/>
    </row>
    <row r="80" spans="1:21" s="37" customFormat="1" x14ac:dyDescent="0.2">
      <c r="A80" s="39" t="s">
        <v>87</v>
      </c>
      <c r="B80" s="43"/>
      <c r="C80" s="43"/>
      <c r="D80" s="43"/>
      <c r="E80" s="43"/>
      <c r="F80" s="43"/>
      <c r="G80" s="44"/>
      <c r="H80" s="45"/>
      <c r="I80" s="58"/>
      <c r="J80" s="46"/>
      <c r="K80" s="43"/>
      <c r="L80" s="45"/>
      <c r="M80" s="58">
        <v>7683</v>
      </c>
      <c r="N80" s="46"/>
      <c r="O80" s="43"/>
      <c r="P80" s="55"/>
      <c r="Q80" s="46">
        <v>7683</v>
      </c>
      <c r="R80" s="43"/>
      <c r="S80" s="55"/>
      <c r="T80" s="55"/>
      <c r="U80" s="46"/>
    </row>
    <row r="81" spans="1:21" s="37" customFormat="1" x14ac:dyDescent="0.2">
      <c r="A81" s="39" t="s">
        <v>88</v>
      </c>
      <c r="B81" s="43"/>
      <c r="C81" s="43"/>
      <c r="D81" s="43"/>
      <c r="E81" s="43"/>
      <c r="F81" s="43"/>
      <c r="G81" s="44"/>
      <c r="H81" s="45"/>
      <c r="I81" s="58"/>
      <c r="J81" s="46"/>
      <c r="K81" s="43"/>
      <c r="L81" s="45"/>
      <c r="M81" s="58">
        <v>10928</v>
      </c>
      <c r="N81" s="46"/>
      <c r="O81" s="43"/>
      <c r="P81" s="55"/>
      <c r="Q81" s="46">
        <v>10928</v>
      </c>
      <c r="R81" s="43"/>
      <c r="S81" s="55"/>
      <c r="T81" s="55"/>
      <c r="U81" s="46"/>
    </row>
    <row r="82" spans="1:21" s="37" customFormat="1" x14ac:dyDescent="0.2">
      <c r="A82" s="39" t="s">
        <v>89</v>
      </c>
      <c r="B82" s="43"/>
      <c r="C82" s="43"/>
      <c r="D82" s="43"/>
      <c r="E82" s="43"/>
      <c r="F82" s="43"/>
      <c r="G82" s="44"/>
      <c r="H82" s="45"/>
      <c r="I82" s="58"/>
      <c r="J82" s="46"/>
      <c r="K82" s="43"/>
      <c r="L82" s="45"/>
      <c r="M82" s="58">
        <v>3356</v>
      </c>
      <c r="N82" s="46"/>
      <c r="O82" s="43"/>
      <c r="P82" s="55"/>
      <c r="Q82" s="46">
        <v>3356</v>
      </c>
      <c r="R82" s="43"/>
      <c r="S82" s="55"/>
      <c r="T82" s="55"/>
      <c r="U82" s="46"/>
    </row>
    <row r="83" spans="1:21" s="37" customFormat="1" x14ac:dyDescent="0.2">
      <c r="A83" s="39" t="s">
        <v>90</v>
      </c>
      <c r="B83" s="43"/>
      <c r="C83" s="43"/>
      <c r="D83" s="43"/>
      <c r="E83" s="43"/>
      <c r="F83" s="43"/>
      <c r="G83" s="44"/>
      <c r="H83" s="45"/>
      <c r="I83" s="58"/>
      <c r="J83" s="46"/>
      <c r="K83" s="43"/>
      <c r="L83" s="45"/>
      <c r="M83" s="58">
        <v>2380</v>
      </c>
      <c r="N83" s="46"/>
      <c r="O83" s="43"/>
      <c r="P83" s="55"/>
      <c r="Q83" s="46">
        <v>2380</v>
      </c>
      <c r="R83" s="43"/>
      <c r="S83" s="55"/>
      <c r="T83" s="55"/>
      <c r="U83" s="46"/>
    </row>
    <row r="84" spans="1:21" s="37" customFormat="1" x14ac:dyDescent="0.2">
      <c r="A84" s="39" t="s">
        <v>155</v>
      </c>
      <c r="B84" s="43"/>
      <c r="C84" s="43"/>
      <c r="D84" s="43"/>
      <c r="E84" s="43"/>
      <c r="F84" s="43"/>
      <c r="G84" s="44"/>
      <c r="H84" s="45"/>
      <c r="I84" s="58"/>
      <c r="J84" s="46"/>
      <c r="K84" s="43"/>
      <c r="L84" s="43"/>
      <c r="M84" s="96">
        <v>7850</v>
      </c>
      <c r="N84" s="97">
        <v>7850</v>
      </c>
      <c r="O84" s="43"/>
      <c r="P84" s="55"/>
      <c r="Q84" s="46"/>
      <c r="R84" s="43"/>
      <c r="S84" s="55"/>
      <c r="T84" s="55"/>
      <c r="U84" s="46"/>
    </row>
    <row r="85" spans="1:21" s="37" customFormat="1" x14ac:dyDescent="0.2">
      <c r="A85" s="39" t="s">
        <v>156</v>
      </c>
      <c r="B85" s="43"/>
      <c r="C85" s="43"/>
      <c r="D85" s="43"/>
      <c r="E85" s="43"/>
      <c r="F85" s="43"/>
      <c r="G85" s="44"/>
      <c r="H85" s="45"/>
      <c r="I85" s="58"/>
      <c r="J85" s="46"/>
      <c r="K85" s="43"/>
      <c r="L85" s="43"/>
      <c r="M85" s="96">
        <v>0</v>
      </c>
      <c r="N85" s="97">
        <v>0</v>
      </c>
      <c r="O85" s="43"/>
      <c r="P85" s="99">
        <v>3800</v>
      </c>
      <c r="Q85" s="97">
        <v>3800</v>
      </c>
      <c r="R85" s="43"/>
      <c r="S85" s="55"/>
      <c r="T85" s="55"/>
      <c r="U85" s="46"/>
    </row>
    <row r="86" spans="1:21" s="37" customFormat="1" ht="25.5" x14ac:dyDescent="0.2">
      <c r="A86" s="39" t="s">
        <v>157</v>
      </c>
      <c r="B86" s="43"/>
      <c r="C86" s="43"/>
      <c r="D86" s="43"/>
      <c r="E86" s="43"/>
      <c r="F86" s="43"/>
      <c r="G86" s="44"/>
      <c r="H86" s="45"/>
      <c r="I86" s="58"/>
      <c r="J86" s="46"/>
      <c r="K86" s="43"/>
      <c r="L86" s="43"/>
      <c r="M86" s="96">
        <v>9600</v>
      </c>
      <c r="N86" s="97">
        <v>9600</v>
      </c>
      <c r="O86" s="43"/>
      <c r="P86" s="55"/>
      <c r="Q86" s="46"/>
      <c r="R86" s="43"/>
      <c r="S86" s="55"/>
      <c r="T86" s="55"/>
      <c r="U86" s="46"/>
    </row>
    <row r="87" spans="1:21" s="37" customFormat="1" x14ac:dyDescent="0.2">
      <c r="A87" s="39" t="s">
        <v>158</v>
      </c>
      <c r="B87" s="43"/>
      <c r="C87" s="43"/>
      <c r="D87" s="43"/>
      <c r="E87" s="43"/>
      <c r="F87" s="43"/>
      <c r="G87" s="44"/>
      <c r="H87" s="45"/>
      <c r="I87" s="58"/>
      <c r="J87" s="46"/>
      <c r="K87" s="43"/>
      <c r="L87" s="43"/>
      <c r="M87" s="96">
        <v>11700</v>
      </c>
      <c r="N87" s="97">
        <v>11700</v>
      </c>
      <c r="O87" s="43"/>
      <c r="P87" s="55"/>
      <c r="Q87" s="46"/>
      <c r="R87" s="43"/>
      <c r="S87" s="55"/>
      <c r="T87" s="55"/>
      <c r="U87" s="46"/>
    </row>
    <row r="88" spans="1:21" s="37" customFormat="1" ht="25.5" x14ac:dyDescent="0.2">
      <c r="A88" s="39" t="s">
        <v>159</v>
      </c>
      <c r="B88" s="43"/>
      <c r="C88" s="43"/>
      <c r="D88" s="43"/>
      <c r="E88" s="43"/>
      <c r="F88" s="43"/>
      <c r="G88" s="44"/>
      <c r="H88" s="45"/>
      <c r="I88" s="58"/>
      <c r="J88" s="46"/>
      <c r="K88" s="43"/>
      <c r="L88" s="43"/>
      <c r="M88" s="96">
        <v>13800</v>
      </c>
      <c r="N88" s="97">
        <v>13800</v>
      </c>
      <c r="O88" s="43"/>
      <c r="P88" s="55"/>
      <c r="Q88" s="46"/>
      <c r="R88" s="43"/>
      <c r="S88" s="55"/>
      <c r="T88" s="55"/>
      <c r="U88" s="46"/>
    </row>
    <row r="89" spans="1:21" x14ac:dyDescent="0.2">
      <c r="A89" s="16" t="s">
        <v>7</v>
      </c>
      <c r="B89" s="23"/>
      <c r="C89" s="23"/>
      <c r="D89" s="23"/>
      <c r="E89" s="23"/>
      <c r="F89" s="23">
        <v>162175.28</v>
      </c>
      <c r="G89" s="6"/>
      <c r="H89" s="6">
        <v>22700</v>
      </c>
      <c r="I89" s="59"/>
      <c r="J89" s="24"/>
      <c r="K89" s="23"/>
      <c r="L89" s="6">
        <v>500</v>
      </c>
      <c r="M89" s="59"/>
      <c r="N89" s="24"/>
      <c r="O89" s="23"/>
      <c r="P89" s="56"/>
      <c r="Q89" s="24"/>
      <c r="R89" s="23"/>
      <c r="S89" s="56"/>
      <c r="T89" s="56"/>
      <c r="U89" s="24"/>
    </row>
    <row r="90" spans="1:21" x14ac:dyDescent="0.2">
      <c r="A90" s="16" t="s">
        <v>8</v>
      </c>
      <c r="B90" s="23"/>
      <c r="C90" s="23"/>
      <c r="D90" s="23"/>
      <c r="E90" s="23"/>
      <c r="F90" s="23"/>
      <c r="G90" s="6"/>
      <c r="H90" s="104">
        <v>34598</v>
      </c>
      <c r="I90" s="59"/>
      <c r="J90" s="24"/>
      <c r="K90" s="47"/>
      <c r="L90" s="104">
        <v>16000</v>
      </c>
      <c r="M90" s="59"/>
      <c r="N90" s="24"/>
      <c r="O90" s="106">
        <v>0</v>
      </c>
      <c r="P90" s="56"/>
      <c r="Q90" s="24"/>
      <c r="R90" s="23"/>
      <c r="S90" s="56"/>
      <c r="T90" s="56"/>
      <c r="U90" s="24"/>
    </row>
    <row r="91" spans="1:21" x14ac:dyDescent="0.2">
      <c r="A91" s="16" t="s">
        <v>9</v>
      </c>
      <c r="B91" s="23"/>
      <c r="C91" s="23"/>
      <c r="D91" s="23"/>
      <c r="E91" s="23"/>
      <c r="F91" s="23"/>
      <c r="G91" s="6"/>
      <c r="H91" s="6">
        <v>5500</v>
      </c>
      <c r="I91" s="59"/>
      <c r="J91" s="24"/>
      <c r="K91" s="47"/>
      <c r="L91" s="6"/>
      <c r="M91" s="59"/>
      <c r="N91" s="24"/>
      <c r="O91" s="23"/>
      <c r="P91" s="56"/>
      <c r="Q91" s="24"/>
      <c r="R91" s="23"/>
      <c r="S91" s="56"/>
      <c r="T91" s="56"/>
      <c r="U91" s="24"/>
    </row>
    <row r="92" spans="1:21" x14ac:dyDescent="0.2">
      <c r="A92" s="16" t="s">
        <v>10</v>
      </c>
      <c r="B92" s="23"/>
      <c r="C92" s="23"/>
      <c r="D92" s="23"/>
      <c r="E92" s="23"/>
      <c r="F92" s="23"/>
      <c r="G92" s="6"/>
      <c r="H92" s="6">
        <v>30200</v>
      </c>
      <c r="I92" s="59"/>
      <c r="J92" s="24"/>
      <c r="K92" s="23"/>
      <c r="L92" s="6"/>
      <c r="M92" s="59"/>
      <c r="N92" s="24"/>
      <c r="O92" s="23"/>
      <c r="P92" s="56"/>
      <c r="Q92" s="24"/>
      <c r="R92" s="23"/>
      <c r="S92" s="56"/>
      <c r="T92" s="56"/>
      <c r="U92" s="24"/>
    </row>
    <row r="93" spans="1:21" x14ac:dyDescent="0.2">
      <c r="A93" s="16" t="s">
        <v>11</v>
      </c>
      <c r="B93" s="23"/>
      <c r="C93" s="23"/>
      <c r="D93" s="23"/>
      <c r="E93" s="23"/>
      <c r="F93" s="23"/>
      <c r="G93" s="6"/>
      <c r="H93" s="6">
        <v>15000</v>
      </c>
      <c r="I93" s="59"/>
      <c r="J93" s="24"/>
      <c r="K93" s="23"/>
      <c r="L93" s="6"/>
      <c r="M93" s="59"/>
      <c r="N93" s="24"/>
      <c r="O93" s="23"/>
      <c r="P93" s="56"/>
      <c r="Q93" s="24"/>
      <c r="R93" s="23"/>
      <c r="S93" s="56"/>
      <c r="T93" s="56"/>
      <c r="U93" s="24"/>
    </row>
    <row r="94" spans="1:21" x14ac:dyDescent="0.2">
      <c r="A94" s="16" t="s">
        <v>12</v>
      </c>
      <c r="B94" s="23"/>
      <c r="C94" s="23"/>
      <c r="D94" s="23"/>
      <c r="E94" s="23"/>
      <c r="F94" s="23"/>
      <c r="G94" s="6"/>
      <c r="H94" s="104">
        <v>0</v>
      </c>
      <c r="I94" s="59"/>
      <c r="J94" s="24"/>
      <c r="K94" s="23"/>
      <c r="L94" s="104">
        <v>52090</v>
      </c>
      <c r="M94" s="59"/>
      <c r="N94" s="24"/>
      <c r="O94" s="23"/>
      <c r="P94" s="56"/>
      <c r="Q94" s="24"/>
      <c r="R94" s="23"/>
      <c r="S94" s="56"/>
      <c r="T94" s="56"/>
      <c r="U94" s="24"/>
    </row>
    <row r="95" spans="1:21" x14ac:dyDescent="0.2">
      <c r="A95" s="16" t="s">
        <v>13</v>
      </c>
      <c r="B95" s="23"/>
      <c r="C95" s="23"/>
      <c r="D95" s="23"/>
      <c r="E95" s="23"/>
      <c r="F95" s="23"/>
      <c r="G95" s="6"/>
      <c r="H95" s="104">
        <v>40000</v>
      </c>
      <c r="I95" s="59"/>
      <c r="J95" s="24"/>
      <c r="K95" s="47"/>
      <c r="L95" s="104">
        <v>0</v>
      </c>
      <c r="M95" s="59"/>
      <c r="N95" s="24"/>
      <c r="O95" s="23"/>
      <c r="P95" s="56"/>
      <c r="Q95" s="24"/>
      <c r="R95" s="23"/>
      <c r="S95" s="56"/>
      <c r="T95" s="56"/>
      <c r="U95" s="24"/>
    </row>
    <row r="96" spans="1:21" x14ac:dyDescent="0.2">
      <c r="A96" s="19" t="s">
        <v>14</v>
      </c>
      <c r="B96" s="23"/>
      <c r="C96" s="23"/>
      <c r="D96" s="23"/>
      <c r="E96" s="23"/>
      <c r="F96" s="23"/>
      <c r="G96" s="6"/>
      <c r="H96" s="104">
        <v>5000</v>
      </c>
      <c r="I96" s="59"/>
      <c r="J96" s="24"/>
      <c r="K96" s="47"/>
      <c r="L96" s="104">
        <v>46139</v>
      </c>
      <c r="M96" s="59"/>
      <c r="N96" s="24"/>
      <c r="O96" s="23"/>
      <c r="P96" s="56"/>
      <c r="Q96" s="24"/>
      <c r="R96" s="23"/>
      <c r="S96" s="56"/>
      <c r="T96" s="56"/>
      <c r="U96" s="24"/>
    </row>
    <row r="97" spans="1:21" x14ac:dyDescent="0.2">
      <c r="A97" s="16" t="s">
        <v>15</v>
      </c>
      <c r="B97" s="23"/>
      <c r="C97" s="23"/>
      <c r="D97" s="23"/>
      <c r="E97" s="23"/>
      <c r="F97" s="23"/>
      <c r="G97" s="6"/>
      <c r="H97" s="104">
        <v>20571</v>
      </c>
      <c r="I97" s="59"/>
      <c r="J97" s="24"/>
      <c r="K97" s="47"/>
      <c r="L97" s="104">
        <v>113428</v>
      </c>
      <c r="M97" s="59"/>
      <c r="N97" s="24"/>
      <c r="O97" s="106">
        <v>42000</v>
      </c>
      <c r="P97" s="56"/>
      <c r="Q97" s="24"/>
      <c r="R97" s="23"/>
      <c r="S97" s="56"/>
      <c r="T97" s="56"/>
      <c r="U97" s="24"/>
    </row>
    <row r="98" spans="1:21" ht="25.5" x14ac:dyDescent="0.2">
      <c r="A98" s="16" t="s">
        <v>35</v>
      </c>
      <c r="B98" s="23"/>
      <c r="C98" s="23"/>
      <c r="D98" s="23"/>
      <c r="E98" s="23"/>
      <c r="F98" s="23"/>
      <c r="G98" s="6"/>
      <c r="H98" s="6">
        <v>6200</v>
      </c>
      <c r="I98" s="59"/>
      <c r="J98" s="24"/>
      <c r="K98" s="23"/>
      <c r="L98" s="6"/>
      <c r="M98" s="59"/>
      <c r="N98" s="24"/>
      <c r="O98" s="23"/>
      <c r="P98" s="56"/>
      <c r="Q98" s="24"/>
      <c r="R98" s="23"/>
      <c r="S98" s="56"/>
      <c r="T98" s="56"/>
      <c r="U98" s="24"/>
    </row>
    <row r="99" spans="1:21" x14ac:dyDescent="0.2">
      <c r="A99" s="16" t="s">
        <v>16</v>
      </c>
      <c r="B99" s="23"/>
      <c r="C99" s="23"/>
      <c r="D99" s="23"/>
      <c r="E99" s="23"/>
      <c r="F99" s="23"/>
      <c r="G99" s="6"/>
      <c r="H99" s="104">
        <v>0</v>
      </c>
      <c r="I99" s="59"/>
      <c r="J99" s="24"/>
      <c r="K99" s="47"/>
      <c r="L99" s="104">
        <v>5500</v>
      </c>
      <c r="M99" s="59"/>
      <c r="N99" s="24"/>
      <c r="O99" s="106">
        <v>25000</v>
      </c>
      <c r="P99" s="56"/>
      <c r="Q99" s="24"/>
      <c r="R99" s="23"/>
      <c r="S99" s="56"/>
      <c r="T99" s="56"/>
      <c r="U99" s="24"/>
    </row>
    <row r="100" spans="1:21" x14ac:dyDescent="0.2">
      <c r="A100" s="16" t="s">
        <v>17</v>
      </c>
      <c r="B100" s="23"/>
      <c r="C100" s="23"/>
      <c r="D100" s="23"/>
      <c r="E100" s="23"/>
      <c r="F100" s="23"/>
      <c r="G100" s="6"/>
      <c r="H100" s="6">
        <v>51000</v>
      </c>
      <c r="I100" s="59"/>
      <c r="J100" s="24"/>
      <c r="K100" s="23"/>
      <c r="L100" s="6"/>
      <c r="M100" s="59"/>
      <c r="N100" s="24"/>
      <c r="O100" s="23"/>
      <c r="P100" s="56"/>
      <c r="Q100" s="24"/>
      <c r="R100" s="23"/>
      <c r="S100" s="56"/>
      <c r="T100" s="56"/>
      <c r="U100" s="24"/>
    </row>
    <row r="101" spans="1:21" ht="38.25" x14ac:dyDescent="0.2">
      <c r="A101" s="16" t="s">
        <v>34</v>
      </c>
      <c r="B101" s="23"/>
      <c r="C101" s="23"/>
      <c r="D101" s="23"/>
      <c r="E101" s="23"/>
      <c r="F101" s="23"/>
      <c r="G101" s="6"/>
      <c r="H101" s="104">
        <v>10000</v>
      </c>
      <c r="I101" s="59"/>
      <c r="J101" s="24"/>
      <c r="K101" s="23"/>
      <c r="L101" s="104">
        <v>28000</v>
      </c>
      <c r="M101" s="59"/>
      <c r="N101" s="24"/>
      <c r="O101" s="23"/>
      <c r="P101" s="56"/>
      <c r="Q101" s="24"/>
      <c r="R101" s="23"/>
      <c r="S101" s="56"/>
      <c r="T101" s="56"/>
      <c r="U101" s="24"/>
    </row>
    <row r="102" spans="1:21" x14ac:dyDescent="0.2">
      <c r="A102" s="16" t="s">
        <v>18</v>
      </c>
      <c r="B102" s="23"/>
      <c r="C102" s="23"/>
      <c r="D102" s="23"/>
      <c r="E102" s="23"/>
      <c r="F102" s="23"/>
      <c r="G102" s="6"/>
      <c r="H102" s="104">
        <v>45000</v>
      </c>
      <c r="I102" s="59"/>
      <c r="J102" s="24"/>
      <c r="K102" s="47"/>
      <c r="L102" s="104">
        <v>0</v>
      </c>
      <c r="M102" s="59"/>
      <c r="N102" s="24"/>
      <c r="O102" s="23"/>
      <c r="P102" s="56"/>
      <c r="Q102" s="24"/>
      <c r="R102" s="23"/>
      <c r="S102" s="56"/>
      <c r="T102" s="56"/>
      <c r="U102" s="24"/>
    </row>
    <row r="103" spans="1:21" s="8" customFormat="1" x14ac:dyDescent="0.2">
      <c r="A103" s="17" t="s">
        <v>28</v>
      </c>
      <c r="B103" s="25">
        <f t="shared" ref="B103:R103" si="3">SUM(B63:B102)</f>
        <v>0</v>
      </c>
      <c r="C103" s="25">
        <f t="shared" si="3"/>
        <v>0</v>
      </c>
      <c r="D103" s="25">
        <f t="shared" si="3"/>
        <v>11784.489999999998</v>
      </c>
      <c r="E103" s="25">
        <f t="shared" si="3"/>
        <v>26992.61</v>
      </c>
      <c r="F103" s="25">
        <f t="shared" si="3"/>
        <v>162175.28</v>
      </c>
      <c r="G103" s="1">
        <f t="shared" si="3"/>
        <v>0</v>
      </c>
      <c r="H103" s="1">
        <f t="shared" si="3"/>
        <v>285769</v>
      </c>
      <c r="I103" s="60">
        <f t="shared" si="3"/>
        <v>49612.67</v>
      </c>
      <c r="J103" s="63">
        <f t="shared" si="3"/>
        <v>60132</v>
      </c>
      <c r="K103" s="25">
        <f t="shared" si="3"/>
        <v>0</v>
      </c>
      <c r="L103" s="1">
        <f>SUM(L63:L102)</f>
        <v>261657</v>
      </c>
      <c r="M103" s="1">
        <f t="shared" ref="M103:N103" si="4">SUM(M63:M102)</f>
        <v>112480</v>
      </c>
      <c r="N103" s="1">
        <f t="shared" si="4"/>
        <v>42950</v>
      </c>
      <c r="O103" s="25">
        <f t="shared" si="3"/>
        <v>67000</v>
      </c>
      <c r="P103" s="15">
        <f t="shared" si="3"/>
        <v>46330</v>
      </c>
      <c r="Q103" s="26">
        <f t="shared" si="3"/>
        <v>115860</v>
      </c>
      <c r="R103" s="25">
        <f t="shared" si="3"/>
        <v>0</v>
      </c>
      <c r="S103" s="15"/>
      <c r="T103" s="15">
        <f>SUM(T63:T102)</f>
        <v>0</v>
      </c>
      <c r="U103" s="26">
        <f>SUM(U63:U102)</f>
        <v>0</v>
      </c>
    </row>
    <row r="104" spans="1:21" s="37" customFormat="1" x14ac:dyDescent="0.2">
      <c r="A104" s="40" t="s">
        <v>91</v>
      </c>
      <c r="B104" s="43"/>
      <c r="C104" s="43"/>
      <c r="D104" s="43"/>
      <c r="E104" s="43"/>
      <c r="F104" s="43"/>
      <c r="G104" s="44"/>
      <c r="H104" s="45"/>
      <c r="I104" s="58"/>
      <c r="J104" s="46"/>
      <c r="K104" s="43"/>
      <c r="L104" s="45"/>
      <c r="M104" s="58"/>
      <c r="N104" s="46"/>
      <c r="O104" s="43"/>
      <c r="P104" s="99">
        <v>0</v>
      </c>
      <c r="Q104" s="97">
        <v>0</v>
      </c>
      <c r="R104" s="23"/>
      <c r="S104" s="56"/>
      <c r="T104" s="56"/>
      <c r="U104" s="24"/>
    </row>
    <row r="105" spans="1:21" s="37" customFormat="1" ht="25.5" x14ac:dyDescent="0.2">
      <c r="A105" s="72" t="s">
        <v>144</v>
      </c>
      <c r="B105" s="43"/>
      <c r="C105" s="43"/>
      <c r="D105" s="43">
        <v>19688.03</v>
      </c>
      <c r="E105" s="43"/>
      <c r="F105" s="43"/>
      <c r="G105" s="44"/>
      <c r="H105" s="45"/>
      <c r="I105" s="58"/>
      <c r="J105" s="46">
        <v>19738.099999999999</v>
      </c>
      <c r="K105" s="43"/>
      <c r="L105" s="45"/>
      <c r="M105" s="58"/>
      <c r="N105" s="46"/>
      <c r="O105" s="43"/>
      <c r="P105" s="55"/>
      <c r="Q105" s="46"/>
      <c r="R105" s="23"/>
      <c r="S105" s="56"/>
      <c r="T105" s="56"/>
      <c r="U105" s="24"/>
    </row>
    <row r="106" spans="1:21" s="8" customFormat="1" x14ac:dyDescent="0.2">
      <c r="A106" s="100" t="s">
        <v>165</v>
      </c>
      <c r="B106" s="43"/>
      <c r="C106" s="43"/>
      <c r="D106" s="43"/>
      <c r="E106" s="43"/>
      <c r="F106" s="43"/>
      <c r="G106" s="44"/>
      <c r="H106" s="45"/>
      <c r="I106" s="58">
        <v>0</v>
      </c>
      <c r="J106" s="46"/>
      <c r="K106" s="43"/>
      <c r="L106" s="45"/>
      <c r="M106" s="96">
        <v>45900</v>
      </c>
      <c r="N106" s="96">
        <v>28000</v>
      </c>
      <c r="O106" s="43"/>
      <c r="P106" s="99">
        <v>2520</v>
      </c>
      <c r="Q106" s="97">
        <v>20420</v>
      </c>
      <c r="R106" s="43"/>
      <c r="S106" s="55"/>
      <c r="T106" s="55"/>
      <c r="U106" s="46"/>
    </row>
    <row r="107" spans="1:21" s="8" customFormat="1" x14ac:dyDescent="0.2">
      <c r="A107" s="100" t="s">
        <v>166</v>
      </c>
      <c r="B107" s="43"/>
      <c r="C107" s="43"/>
      <c r="D107" s="43"/>
      <c r="E107" s="43"/>
      <c r="F107" s="43"/>
      <c r="G107" s="44"/>
      <c r="H107" s="45"/>
      <c r="I107" s="58">
        <v>0</v>
      </c>
      <c r="J107" s="46"/>
      <c r="K107" s="43"/>
      <c r="L107" s="45"/>
      <c r="M107" s="96">
        <v>14989</v>
      </c>
      <c r="N107" s="96">
        <v>14989</v>
      </c>
      <c r="O107" s="43"/>
      <c r="P107" s="55"/>
      <c r="Q107" s="46"/>
      <c r="R107" s="43"/>
      <c r="S107" s="55"/>
      <c r="T107" s="55"/>
      <c r="U107" s="46"/>
    </row>
    <row r="108" spans="1:21" s="8" customFormat="1" x14ac:dyDescent="0.2">
      <c r="A108" s="100" t="s">
        <v>167</v>
      </c>
      <c r="B108" s="43"/>
      <c r="C108" s="43"/>
      <c r="D108" s="43"/>
      <c r="E108" s="43"/>
      <c r="F108" s="43"/>
      <c r="G108" s="44"/>
      <c r="H108" s="45"/>
      <c r="I108" s="58">
        <v>0</v>
      </c>
      <c r="J108" s="46"/>
      <c r="K108" s="43"/>
      <c r="L108" s="45"/>
      <c r="M108" s="96">
        <v>2790</v>
      </c>
      <c r="N108" s="58"/>
      <c r="O108" s="43"/>
      <c r="P108" s="99">
        <v>21330</v>
      </c>
      <c r="Q108" s="97">
        <v>24120</v>
      </c>
      <c r="R108" s="43"/>
      <c r="S108" s="55"/>
      <c r="T108" s="55"/>
      <c r="U108" s="46"/>
    </row>
    <row r="109" spans="1:21" x14ac:dyDescent="0.2">
      <c r="A109" s="20" t="s">
        <v>19</v>
      </c>
      <c r="B109" s="23"/>
      <c r="C109" s="23"/>
      <c r="D109" s="23"/>
      <c r="E109" s="23"/>
      <c r="F109" s="23"/>
      <c r="G109" s="6"/>
      <c r="H109" s="7">
        <v>41000</v>
      </c>
      <c r="I109" s="62"/>
      <c r="J109" s="32"/>
      <c r="K109" s="23"/>
      <c r="L109" s="6"/>
      <c r="M109" s="59"/>
      <c r="N109" s="24"/>
      <c r="O109" s="23"/>
      <c r="P109" s="56"/>
      <c r="Q109" s="24"/>
      <c r="R109" s="23"/>
      <c r="S109" s="56"/>
      <c r="T109" s="56"/>
      <c r="U109" s="24"/>
    </row>
    <row r="110" spans="1:21" x14ac:dyDescent="0.2">
      <c r="A110" s="20" t="s">
        <v>20</v>
      </c>
      <c r="B110" s="23"/>
      <c r="C110" s="23"/>
      <c r="D110" s="23"/>
      <c r="E110" s="23"/>
      <c r="F110" s="23"/>
      <c r="G110" s="6"/>
      <c r="H110" s="6">
        <v>115000</v>
      </c>
      <c r="I110" s="59"/>
      <c r="J110" s="24"/>
      <c r="K110" s="47"/>
      <c r="L110" s="6">
        <v>69416</v>
      </c>
      <c r="M110" s="59"/>
      <c r="N110" s="24"/>
      <c r="O110" s="23"/>
      <c r="P110" s="56"/>
      <c r="Q110" s="24"/>
      <c r="R110" s="23"/>
      <c r="S110" s="56"/>
      <c r="T110" s="56"/>
      <c r="U110" s="24"/>
    </row>
    <row r="111" spans="1:21" x14ac:dyDescent="0.2">
      <c r="A111" s="20" t="s">
        <v>21</v>
      </c>
      <c r="B111" s="23"/>
      <c r="C111" s="23"/>
      <c r="D111" s="23"/>
      <c r="E111" s="23"/>
      <c r="F111" s="23"/>
      <c r="G111" s="6"/>
      <c r="H111" s="6">
        <v>3500</v>
      </c>
      <c r="I111" s="59"/>
      <c r="J111" s="24"/>
      <c r="K111" s="47"/>
      <c r="L111" s="6">
        <v>15500</v>
      </c>
      <c r="M111" s="59"/>
      <c r="N111" s="24"/>
      <c r="O111" s="23"/>
      <c r="P111" s="56"/>
      <c r="Q111" s="24"/>
      <c r="R111" s="23"/>
      <c r="S111" s="56"/>
      <c r="T111" s="56"/>
      <c r="U111" s="24"/>
    </row>
    <row r="112" spans="1:21" x14ac:dyDescent="0.2">
      <c r="A112" s="20" t="s">
        <v>22</v>
      </c>
      <c r="B112" s="23"/>
      <c r="C112" s="23"/>
      <c r="D112" s="23"/>
      <c r="E112" s="23"/>
      <c r="F112" s="23"/>
      <c r="G112" s="6"/>
      <c r="H112" s="6">
        <f>1000+2500</f>
        <v>3500</v>
      </c>
      <c r="I112" s="59"/>
      <c r="J112" s="24"/>
      <c r="K112" s="23"/>
      <c r="L112" s="6">
        <f>32500-2500</f>
        <v>30000</v>
      </c>
      <c r="M112" s="59"/>
      <c r="N112" s="24"/>
      <c r="O112" s="23"/>
      <c r="P112" s="56"/>
      <c r="Q112" s="24"/>
      <c r="R112" s="23"/>
      <c r="S112" s="56"/>
      <c r="T112" s="56"/>
      <c r="U112" s="24"/>
    </row>
    <row r="113" spans="1:21" s="8" customFormat="1" x14ac:dyDescent="0.2">
      <c r="A113" s="17" t="s">
        <v>29</v>
      </c>
      <c r="B113" s="25">
        <f t="shared" ref="B113:R113" si="5">SUM(B104:B112)</f>
        <v>0</v>
      </c>
      <c r="C113" s="25">
        <f>SUM(C104:C112)</f>
        <v>0</v>
      </c>
      <c r="D113" s="25">
        <f t="shared" si="5"/>
        <v>19688.03</v>
      </c>
      <c r="E113" s="25">
        <f t="shared" si="5"/>
        <v>0</v>
      </c>
      <c r="F113" s="25">
        <f t="shared" si="5"/>
        <v>0</v>
      </c>
      <c r="G113" s="1">
        <f t="shared" si="5"/>
        <v>0</v>
      </c>
      <c r="H113" s="1">
        <f t="shared" si="5"/>
        <v>163000</v>
      </c>
      <c r="I113" s="60">
        <f t="shared" si="5"/>
        <v>0</v>
      </c>
      <c r="J113" s="63">
        <f t="shared" si="5"/>
        <v>19738.099999999999</v>
      </c>
      <c r="K113" s="25">
        <f t="shared" si="5"/>
        <v>0</v>
      </c>
      <c r="L113" s="1">
        <f t="shared" si="5"/>
        <v>114916</v>
      </c>
      <c r="M113" s="1">
        <f t="shared" si="5"/>
        <v>63679</v>
      </c>
      <c r="N113" s="26">
        <f t="shared" si="5"/>
        <v>42989</v>
      </c>
      <c r="O113" s="25">
        <f t="shared" si="5"/>
        <v>0</v>
      </c>
      <c r="P113" s="15">
        <f t="shared" si="5"/>
        <v>23850</v>
      </c>
      <c r="Q113" s="26">
        <f t="shared" si="5"/>
        <v>44540</v>
      </c>
      <c r="R113" s="25">
        <f t="shared" si="5"/>
        <v>0</v>
      </c>
      <c r="S113" s="15"/>
      <c r="T113" s="15">
        <f>SUM(T104:T112)</f>
        <v>0</v>
      </c>
      <c r="U113" s="26">
        <f>SUM(U104:U112)</f>
        <v>0</v>
      </c>
    </row>
    <row r="114" spans="1:21" s="37" customFormat="1" x14ac:dyDescent="0.2">
      <c r="A114" s="41" t="s">
        <v>109</v>
      </c>
      <c r="B114" s="43"/>
      <c r="C114" s="43"/>
      <c r="D114" s="43"/>
      <c r="E114" s="43"/>
      <c r="F114" s="43"/>
      <c r="G114" s="44"/>
      <c r="H114" s="45"/>
      <c r="I114" s="58"/>
      <c r="J114" s="46"/>
      <c r="K114" s="43"/>
      <c r="L114" s="45"/>
      <c r="M114" s="58"/>
      <c r="N114" s="46"/>
      <c r="O114" s="43"/>
      <c r="P114" s="55"/>
      <c r="Q114" s="46"/>
      <c r="R114" s="43"/>
      <c r="S114" s="55"/>
      <c r="T114" s="55"/>
      <c r="U114" s="46"/>
    </row>
    <row r="115" spans="1:21" s="37" customFormat="1" x14ac:dyDescent="0.2">
      <c r="A115" s="41" t="s">
        <v>110</v>
      </c>
      <c r="B115" s="43"/>
      <c r="C115" s="43"/>
      <c r="D115" s="43">
        <v>205.7</v>
      </c>
      <c r="E115" s="43"/>
      <c r="F115" s="43"/>
      <c r="G115" s="44"/>
      <c r="H115" s="45"/>
      <c r="I115" s="58">
        <f>13000+106.48</f>
        <v>13106.48</v>
      </c>
      <c r="J115" s="46">
        <v>9000</v>
      </c>
      <c r="K115" s="43"/>
      <c r="L115" s="45"/>
      <c r="M115" s="58">
        <v>30000</v>
      </c>
      <c r="N115" s="46">
        <v>27200</v>
      </c>
      <c r="O115" s="43"/>
      <c r="P115" s="55">
        <v>2276</v>
      </c>
      <c r="Q115" s="46">
        <v>9076</v>
      </c>
      <c r="R115" s="43"/>
      <c r="S115" s="55"/>
      <c r="T115" s="55"/>
      <c r="U115" s="46"/>
    </row>
    <row r="116" spans="1:21" s="8" customFormat="1" x14ac:dyDescent="0.2">
      <c r="A116" s="17" t="s">
        <v>32</v>
      </c>
      <c r="B116" s="25">
        <f t="shared" ref="B116:R116" si="6">SUM(B114:B115)</f>
        <v>0</v>
      </c>
      <c r="C116" s="25">
        <f t="shared" si="6"/>
        <v>0</v>
      </c>
      <c r="D116" s="25">
        <f t="shared" si="6"/>
        <v>205.7</v>
      </c>
      <c r="E116" s="25">
        <f t="shared" si="6"/>
        <v>0</v>
      </c>
      <c r="F116" s="25">
        <f t="shared" si="6"/>
        <v>0</v>
      </c>
      <c r="G116" s="1">
        <f t="shared" si="6"/>
        <v>0</v>
      </c>
      <c r="H116" s="1">
        <f t="shared" si="6"/>
        <v>0</v>
      </c>
      <c r="I116" s="60">
        <f t="shared" si="6"/>
        <v>13106.48</v>
      </c>
      <c r="J116" s="63">
        <f t="shared" si="6"/>
        <v>9000</v>
      </c>
      <c r="K116" s="25">
        <f t="shared" si="6"/>
        <v>0</v>
      </c>
      <c r="L116" s="1">
        <f t="shared" si="6"/>
        <v>0</v>
      </c>
      <c r="M116" s="1">
        <f t="shared" si="6"/>
        <v>30000</v>
      </c>
      <c r="N116" s="26">
        <f t="shared" si="6"/>
        <v>27200</v>
      </c>
      <c r="O116" s="25">
        <f t="shared" si="6"/>
        <v>0</v>
      </c>
      <c r="P116" s="15">
        <f t="shared" si="6"/>
        <v>2276</v>
      </c>
      <c r="Q116" s="26">
        <f t="shared" si="6"/>
        <v>9076</v>
      </c>
      <c r="R116" s="25">
        <f t="shared" si="6"/>
        <v>0</v>
      </c>
      <c r="S116" s="15"/>
      <c r="T116" s="15">
        <f>SUM(T114:T115)</f>
        <v>0</v>
      </c>
      <c r="U116" s="26">
        <f>SUM(U114:U115)</f>
        <v>0</v>
      </c>
    </row>
    <row r="117" spans="1:21" s="37" customFormat="1" x14ac:dyDescent="0.2">
      <c r="A117" s="42" t="s">
        <v>98</v>
      </c>
      <c r="B117" s="43"/>
      <c r="C117" s="43"/>
      <c r="D117" s="43"/>
      <c r="E117" s="43"/>
      <c r="F117" s="43"/>
      <c r="G117" s="44"/>
      <c r="H117" s="45"/>
      <c r="I117" s="58"/>
      <c r="J117" s="46"/>
      <c r="K117" s="43"/>
      <c r="L117" s="45"/>
      <c r="M117" s="58">
        <v>69500</v>
      </c>
      <c r="N117" s="46">
        <v>69500</v>
      </c>
      <c r="O117" s="43"/>
      <c r="P117" s="55"/>
      <c r="Q117" s="46"/>
      <c r="R117" s="43"/>
      <c r="S117" s="55"/>
      <c r="T117" s="55"/>
      <c r="U117" s="46"/>
    </row>
    <row r="118" spans="1:21" s="37" customFormat="1" ht="25.5" x14ac:dyDescent="0.2">
      <c r="A118" s="42" t="s">
        <v>99</v>
      </c>
      <c r="B118" s="43"/>
      <c r="C118" s="43"/>
      <c r="D118" s="43"/>
      <c r="E118" s="43"/>
      <c r="F118" s="43"/>
      <c r="G118" s="44"/>
      <c r="H118" s="45"/>
      <c r="I118" s="58"/>
      <c r="J118" s="46"/>
      <c r="K118" s="43"/>
      <c r="L118" s="45"/>
      <c r="M118" s="58">
        <v>14784</v>
      </c>
      <c r="N118" s="46"/>
      <c r="O118" s="43"/>
      <c r="P118" s="55"/>
      <c r="Q118" s="46">
        <v>14784</v>
      </c>
      <c r="R118" s="43"/>
      <c r="S118" s="55"/>
      <c r="T118" s="55"/>
      <c r="U118" s="46"/>
    </row>
    <row r="119" spans="1:21" s="37" customFormat="1" x14ac:dyDescent="0.2">
      <c r="A119" s="42" t="s">
        <v>100</v>
      </c>
      <c r="B119" s="43"/>
      <c r="C119" s="43"/>
      <c r="D119" s="43"/>
      <c r="E119" s="43"/>
      <c r="F119" s="43"/>
      <c r="G119" s="44"/>
      <c r="H119" s="45"/>
      <c r="I119" s="58"/>
      <c r="J119" s="46"/>
      <c r="K119" s="43"/>
      <c r="L119" s="45"/>
      <c r="M119" s="58">
        <v>88500</v>
      </c>
      <c r="N119" s="46">
        <v>88500</v>
      </c>
      <c r="O119" s="43"/>
      <c r="P119" s="55"/>
      <c r="Q119" s="46"/>
      <c r="R119" s="43"/>
      <c r="S119" s="55"/>
      <c r="T119" s="55"/>
      <c r="U119" s="46"/>
    </row>
    <row r="120" spans="1:21" x14ac:dyDescent="0.2">
      <c r="A120" s="40" t="s">
        <v>92</v>
      </c>
      <c r="B120" s="23"/>
      <c r="C120" s="23"/>
      <c r="D120" s="23"/>
      <c r="E120" s="23"/>
      <c r="F120" s="23"/>
      <c r="G120" s="6"/>
      <c r="H120" s="6"/>
      <c r="I120" s="59"/>
      <c r="J120" s="24"/>
      <c r="K120" s="23"/>
      <c r="L120" s="6"/>
      <c r="M120" s="59"/>
      <c r="N120" s="24"/>
      <c r="O120" s="23"/>
      <c r="P120" s="56">
        <v>141437</v>
      </c>
      <c r="Q120" s="24">
        <v>141437</v>
      </c>
      <c r="R120" s="23"/>
      <c r="S120" s="56"/>
      <c r="T120" s="56"/>
      <c r="U120" s="24"/>
    </row>
    <row r="121" spans="1:21" s="8" customFormat="1" x14ac:dyDescent="0.2">
      <c r="A121" s="17" t="s">
        <v>93</v>
      </c>
      <c r="B121" s="25">
        <f t="shared" ref="B121:R121" si="7">SUM(B117:B120)</f>
        <v>0</v>
      </c>
      <c r="C121" s="25">
        <f t="shared" si="7"/>
        <v>0</v>
      </c>
      <c r="D121" s="25">
        <f t="shared" si="7"/>
        <v>0</v>
      </c>
      <c r="E121" s="25">
        <f t="shared" si="7"/>
        <v>0</v>
      </c>
      <c r="F121" s="25">
        <f t="shared" si="7"/>
        <v>0</v>
      </c>
      <c r="G121" s="1">
        <f t="shared" si="7"/>
        <v>0</v>
      </c>
      <c r="H121" s="1">
        <f t="shared" si="7"/>
        <v>0</v>
      </c>
      <c r="I121" s="60">
        <f t="shared" si="7"/>
        <v>0</v>
      </c>
      <c r="J121" s="63">
        <f t="shared" si="7"/>
        <v>0</v>
      </c>
      <c r="K121" s="25">
        <f t="shared" si="7"/>
        <v>0</v>
      </c>
      <c r="L121" s="1">
        <f t="shared" si="7"/>
        <v>0</v>
      </c>
      <c r="M121" s="1">
        <f t="shared" si="7"/>
        <v>172784</v>
      </c>
      <c r="N121" s="26">
        <f t="shared" si="7"/>
        <v>158000</v>
      </c>
      <c r="O121" s="25">
        <f t="shared" si="7"/>
        <v>0</v>
      </c>
      <c r="P121" s="15">
        <f t="shared" si="7"/>
        <v>141437</v>
      </c>
      <c r="Q121" s="26">
        <f t="shared" si="7"/>
        <v>156221</v>
      </c>
      <c r="R121" s="25">
        <f t="shared" si="7"/>
        <v>0</v>
      </c>
      <c r="S121" s="15"/>
      <c r="T121" s="15">
        <f>SUM(T117:T120)</f>
        <v>0</v>
      </c>
      <c r="U121" s="26">
        <f>SUM(U117:U120)</f>
        <v>0</v>
      </c>
    </row>
    <row r="122" spans="1:21" s="37" customFormat="1" x14ac:dyDescent="0.2">
      <c r="A122" s="41" t="s">
        <v>111</v>
      </c>
      <c r="B122" s="43"/>
      <c r="C122" s="43"/>
      <c r="D122" s="43"/>
      <c r="E122" s="43"/>
      <c r="F122" s="43"/>
      <c r="G122" s="44"/>
      <c r="H122" s="45"/>
      <c r="I122" s="58"/>
      <c r="J122" s="46"/>
      <c r="K122" s="43"/>
      <c r="L122" s="89">
        <v>15000</v>
      </c>
      <c r="M122" s="58">
        <v>84500</v>
      </c>
      <c r="N122" s="46"/>
      <c r="O122" s="90">
        <v>20915</v>
      </c>
      <c r="P122" s="55">
        <v>113500</v>
      </c>
      <c r="Q122" s="46">
        <v>198000</v>
      </c>
      <c r="R122" s="43"/>
      <c r="S122" s="55"/>
      <c r="T122" s="55"/>
      <c r="U122" s="46"/>
    </row>
    <row r="123" spans="1:21" s="8" customFormat="1" x14ac:dyDescent="0.2">
      <c r="A123" s="17" t="s">
        <v>112</v>
      </c>
      <c r="B123" s="1">
        <f t="shared" ref="B123:U123" si="8">SUBTOTAL(9,B122)</f>
        <v>0</v>
      </c>
      <c r="C123" s="1">
        <f t="shared" si="8"/>
        <v>0</v>
      </c>
      <c r="D123" s="1">
        <f t="shared" si="8"/>
        <v>0</v>
      </c>
      <c r="E123" s="1">
        <f t="shared" si="8"/>
        <v>0</v>
      </c>
      <c r="F123" s="1">
        <f t="shared" si="8"/>
        <v>0</v>
      </c>
      <c r="G123" s="1">
        <f t="shared" si="8"/>
        <v>0</v>
      </c>
      <c r="H123" s="1">
        <f t="shared" si="8"/>
        <v>0</v>
      </c>
      <c r="I123" s="60">
        <f t="shared" si="8"/>
        <v>0</v>
      </c>
      <c r="J123" s="63">
        <f t="shared" si="8"/>
        <v>0</v>
      </c>
      <c r="K123" s="25">
        <f t="shared" si="8"/>
        <v>0</v>
      </c>
      <c r="L123" s="1">
        <f t="shared" si="8"/>
        <v>15000</v>
      </c>
      <c r="M123" s="1">
        <f t="shared" si="8"/>
        <v>84500</v>
      </c>
      <c r="N123" s="26">
        <f t="shared" si="8"/>
        <v>0</v>
      </c>
      <c r="O123" s="25">
        <f t="shared" si="8"/>
        <v>20915</v>
      </c>
      <c r="P123" s="15">
        <f>SUM(P122)</f>
        <v>113500</v>
      </c>
      <c r="Q123" s="26">
        <f t="shared" si="8"/>
        <v>198000</v>
      </c>
      <c r="R123" s="25">
        <f t="shared" si="8"/>
        <v>0</v>
      </c>
      <c r="S123" s="15"/>
      <c r="T123" s="15">
        <f>SUM(T122)</f>
        <v>0</v>
      </c>
      <c r="U123" s="26">
        <f t="shared" si="8"/>
        <v>0</v>
      </c>
    </row>
    <row r="124" spans="1:21" s="8" customFormat="1" ht="18.75" customHeight="1" x14ac:dyDescent="0.2">
      <c r="A124" s="73"/>
      <c r="B124" s="74">
        <f t="shared" ref="B124:R124" si="9">B123+B121+B116+B113+B103+B62+B49+B34</f>
        <v>0</v>
      </c>
      <c r="C124" s="74">
        <f t="shared" si="9"/>
        <v>0</v>
      </c>
      <c r="D124" s="74">
        <f t="shared" si="9"/>
        <v>312288.5</v>
      </c>
      <c r="E124" s="74">
        <f t="shared" si="9"/>
        <v>331976.3</v>
      </c>
      <c r="F124" s="74">
        <f t="shared" si="9"/>
        <v>199479.2</v>
      </c>
      <c r="G124" s="74">
        <f t="shared" si="9"/>
        <v>0</v>
      </c>
      <c r="H124" s="74">
        <f t="shared" si="9"/>
        <v>730240</v>
      </c>
      <c r="I124" s="74">
        <f t="shared" si="9"/>
        <v>688354.27</v>
      </c>
      <c r="J124" s="74">
        <f t="shared" si="9"/>
        <v>584267.05000000005</v>
      </c>
      <c r="K124" s="74">
        <f t="shared" si="9"/>
        <v>0</v>
      </c>
      <c r="L124" s="74">
        <f t="shared" si="9"/>
        <v>1018249</v>
      </c>
      <c r="M124" s="74">
        <f t="shared" si="9"/>
        <v>919327.58</v>
      </c>
      <c r="N124" s="74">
        <f t="shared" si="9"/>
        <v>728237.99</v>
      </c>
      <c r="O124" s="74">
        <f t="shared" si="9"/>
        <v>471228</v>
      </c>
      <c r="P124" s="74">
        <f t="shared" si="9"/>
        <v>806154</v>
      </c>
      <c r="Q124" s="74">
        <f t="shared" si="9"/>
        <v>1413515</v>
      </c>
      <c r="R124" s="74">
        <f t="shared" si="9"/>
        <v>671044</v>
      </c>
      <c r="S124" s="75"/>
      <c r="T124" s="74">
        <f>T123+T121+T116+T113+T103+T62+T49+T34</f>
        <v>0</v>
      </c>
      <c r="U124" s="74">
        <f>U123+U121+U116+U113+U103+U62+U49+U34</f>
        <v>125615</v>
      </c>
    </row>
    <row r="125" spans="1:21" s="8" customFormat="1" x14ac:dyDescent="0.2">
      <c r="A125" s="2"/>
      <c r="B125" s="29"/>
      <c r="C125" s="29"/>
      <c r="D125" s="29"/>
      <c r="E125" s="29"/>
      <c r="F125" s="29"/>
      <c r="G125" s="3"/>
      <c r="H125" s="3"/>
      <c r="I125" s="3"/>
      <c r="J125" s="64"/>
      <c r="K125" s="29"/>
      <c r="L125" s="3"/>
      <c r="M125" s="3"/>
      <c r="N125" s="30"/>
      <c r="O125" s="29"/>
      <c r="P125" s="3"/>
      <c r="Q125" s="30"/>
      <c r="R125" s="29"/>
      <c r="S125" s="3"/>
      <c r="T125" s="3"/>
      <c r="U125" s="30"/>
    </row>
    <row r="126" spans="1:21" s="8" customFormat="1" ht="38.25" x14ac:dyDescent="0.2">
      <c r="A126" s="51" t="s">
        <v>137</v>
      </c>
      <c r="B126" s="66"/>
      <c r="C126" s="66"/>
      <c r="D126" s="66"/>
      <c r="E126" s="66"/>
      <c r="F126" s="66"/>
      <c r="G126" s="67"/>
      <c r="H126" s="67"/>
      <c r="I126" s="68"/>
      <c r="J126" s="69"/>
      <c r="K126" s="66"/>
      <c r="L126" s="67"/>
      <c r="M126" s="68"/>
      <c r="N126" s="69"/>
      <c r="O126" s="66"/>
      <c r="P126" s="70"/>
      <c r="Q126" s="69"/>
      <c r="R126" s="66"/>
      <c r="S126" s="70"/>
      <c r="T126" s="70"/>
      <c r="U126" s="69"/>
    </row>
    <row r="127" spans="1:21" s="8" customFormat="1" ht="38.25" x14ac:dyDescent="0.2">
      <c r="A127" s="52" t="s">
        <v>117</v>
      </c>
      <c r="B127" s="43"/>
      <c r="C127" s="43"/>
      <c r="D127" s="43">
        <v>4200.32</v>
      </c>
      <c r="E127" s="43">
        <v>0</v>
      </c>
      <c r="F127" s="43"/>
      <c r="G127" s="44"/>
      <c r="H127" s="45"/>
      <c r="I127" s="58"/>
      <c r="J127" s="46">
        <v>5354.55</v>
      </c>
      <c r="K127" s="43"/>
      <c r="L127" s="45"/>
      <c r="M127" s="58"/>
      <c r="N127" s="46"/>
      <c r="O127" s="43"/>
      <c r="P127" s="55"/>
      <c r="Q127" s="46"/>
      <c r="R127" s="43"/>
      <c r="S127" s="55"/>
      <c r="T127" s="55"/>
      <c r="U127" s="46"/>
    </row>
    <row r="128" spans="1:21" s="8" customFormat="1" ht="25.5" x14ac:dyDescent="0.2">
      <c r="A128" s="52" t="s">
        <v>118</v>
      </c>
      <c r="B128" s="43"/>
      <c r="C128" s="43"/>
      <c r="D128" s="43">
        <v>12485.01</v>
      </c>
      <c r="E128" s="43"/>
      <c r="F128" s="43"/>
      <c r="G128" s="44"/>
      <c r="H128" s="45"/>
      <c r="I128" s="58">
        <v>1198.5</v>
      </c>
      <c r="J128" s="46">
        <v>13683.76</v>
      </c>
      <c r="K128" s="43"/>
      <c r="L128" s="45"/>
      <c r="M128" s="58"/>
      <c r="N128" s="46"/>
      <c r="O128" s="43"/>
      <c r="P128" s="55"/>
      <c r="Q128" s="46"/>
      <c r="R128" s="43"/>
      <c r="S128" s="55"/>
      <c r="T128" s="55"/>
      <c r="U128" s="46"/>
    </row>
    <row r="129" spans="1:21" s="8" customFormat="1" ht="25.5" x14ac:dyDescent="0.2">
      <c r="A129" s="52" t="s">
        <v>119</v>
      </c>
      <c r="B129" s="43"/>
      <c r="C129" s="43"/>
      <c r="D129" s="43">
        <v>731.76</v>
      </c>
      <c r="E129" s="43"/>
      <c r="F129" s="43"/>
      <c r="G129" s="44"/>
      <c r="H129" s="45"/>
      <c r="I129" s="58">
        <v>11.66</v>
      </c>
      <c r="J129" s="46"/>
      <c r="K129" s="43"/>
      <c r="L129" s="45"/>
      <c r="M129" s="58"/>
      <c r="N129" s="46">
        <v>743.42</v>
      </c>
      <c r="O129" s="43"/>
      <c r="P129" s="55"/>
      <c r="Q129" s="46"/>
      <c r="R129" s="43"/>
      <c r="S129" s="55"/>
      <c r="T129" s="55"/>
      <c r="U129" s="46"/>
    </row>
    <row r="130" spans="1:21" s="8" customFormat="1" ht="25.5" x14ac:dyDescent="0.2">
      <c r="A130" s="53" t="s">
        <v>120</v>
      </c>
      <c r="B130" s="43"/>
      <c r="C130" s="43"/>
      <c r="D130" s="43">
        <v>40663.625010000003</v>
      </c>
      <c r="E130" s="43"/>
      <c r="F130" s="43"/>
      <c r="G130" s="44"/>
      <c r="H130" s="45"/>
      <c r="I130" s="58">
        <v>5605.38</v>
      </c>
      <c r="J130" s="46">
        <v>46269</v>
      </c>
      <c r="K130" s="43"/>
      <c r="L130" s="45"/>
      <c r="M130" s="58"/>
      <c r="N130" s="46"/>
      <c r="O130" s="43"/>
      <c r="P130" s="55"/>
      <c r="Q130" s="46"/>
      <c r="R130" s="43"/>
      <c r="S130" s="55"/>
      <c r="T130" s="55"/>
      <c r="U130" s="46"/>
    </row>
    <row r="131" spans="1:21" s="8" customFormat="1" ht="25.5" x14ac:dyDescent="0.2">
      <c r="A131" s="53" t="s">
        <v>121</v>
      </c>
      <c r="B131" s="43"/>
      <c r="C131" s="43"/>
      <c r="D131" s="43">
        <v>0</v>
      </c>
      <c r="E131" s="43"/>
      <c r="F131" s="43"/>
      <c r="G131" s="44"/>
      <c r="H131" s="45"/>
      <c r="I131" s="58">
        <f>29294+22500</f>
        <v>51794</v>
      </c>
      <c r="J131" s="46"/>
      <c r="K131" s="43"/>
      <c r="L131" s="45"/>
      <c r="M131" s="58"/>
      <c r="N131" s="46">
        <v>51794</v>
      </c>
      <c r="O131" s="43"/>
      <c r="P131" s="55"/>
      <c r="Q131" s="46"/>
      <c r="R131" s="43"/>
      <c r="S131" s="55"/>
      <c r="T131" s="55"/>
      <c r="U131" s="46"/>
    </row>
    <row r="132" spans="1:21" s="8" customFormat="1" ht="25.5" x14ac:dyDescent="0.2">
      <c r="A132" s="53" t="s">
        <v>122</v>
      </c>
      <c r="B132" s="43"/>
      <c r="C132" s="43"/>
      <c r="D132" s="43"/>
      <c r="E132" s="43"/>
      <c r="F132" s="43"/>
      <c r="G132" s="44"/>
      <c r="H132" s="45"/>
      <c r="I132" s="58"/>
      <c r="J132" s="46"/>
      <c r="K132" s="43"/>
      <c r="L132" s="45"/>
      <c r="M132" s="58"/>
      <c r="N132" s="46"/>
      <c r="O132" s="43"/>
      <c r="P132" s="55"/>
      <c r="Q132" s="46"/>
      <c r="R132" s="43"/>
      <c r="S132" s="55"/>
      <c r="T132" s="55"/>
      <c r="U132" s="46"/>
    </row>
    <row r="133" spans="1:21" s="8" customFormat="1" ht="25.5" x14ac:dyDescent="0.2">
      <c r="A133" s="53" t="s">
        <v>123</v>
      </c>
      <c r="B133" s="43"/>
      <c r="C133" s="43"/>
      <c r="D133" s="43"/>
      <c r="E133" s="43"/>
      <c r="F133" s="43"/>
      <c r="G133" s="44"/>
      <c r="H133" s="45"/>
      <c r="I133" s="58"/>
      <c r="J133" s="46"/>
      <c r="K133" s="43"/>
      <c r="L133" s="45"/>
      <c r="M133" s="58"/>
      <c r="N133" s="46"/>
      <c r="O133" s="43"/>
      <c r="P133" s="55"/>
      <c r="Q133" s="46"/>
      <c r="R133" s="43"/>
      <c r="S133" s="55"/>
      <c r="T133" s="55"/>
      <c r="U133" s="46"/>
    </row>
    <row r="134" spans="1:21" s="8" customFormat="1" ht="25.5" x14ac:dyDescent="0.2">
      <c r="A134" s="53" t="s">
        <v>124</v>
      </c>
      <c r="B134" s="43"/>
      <c r="C134" s="43"/>
      <c r="D134" s="43"/>
      <c r="E134" s="43"/>
      <c r="F134" s="43"/>
      <c r="G134" s="44"/>
      <c r="H134" s="45"/>
      <c r="I134" s="58"/>
      <c r="J134" s="46"/>
      <c r="K134" s="43"/>
      <c r="L134" s="45"/>
      <c r="M134" s="58"/>
      <c r="N134" s="46"/>
      <c r="O134" s="43"/>
      <c r="P134" s="55"/>
      <c r="Q134" s="46"/>
      <c r="R134" s="43"/>
      <c r="S134" s="55"/>
      <c r="T134" s="55"/>
      <c r="U134" s="46"/>
    </row>
    <row r="135" spans="1:21" s="8" customFormat="1" ht="25.5" x14ac:dyDescent="0.2">
      <c r="A135" s="53" t="s">
        <v>125</v>
      </c>
      <c r="B135" s="43"/>
      <c r="C135" s="43"/>
      <c r="D135" s="43"/>
      <c r="E135" s="43"/>
      <c r="F135" s="43"/>
      <c r="G135" s="44"/>
      <c r="H135" s="45"/>
      <c r="I135" s="58"/>
      <c r="J135" s="46"/>
      <c r="K135" s="43"/>
      <c r="L135" s="45"/>
      <c r="M135" s="58"/>
      <c r="N135" s="46"/>
      <c r="O135" s="43"/>
      <c r="P135" s="55"/>
      <c r="Q135" s="46"/>
      <c r="R135" s="43"/>
      <c r="S135" s="55"/>
      <c r="T135" s="55"/>
      <c r="U135" s="46"/>
    </row>
    <row r="136" spans="1:21" s="8" customFormat="1" ht="25.5" x14ac:dyDescent="0.2">
      <c r="A136" s="53" t="s">
        <v>126</v>
      </c>
      <c r="B136" s="43"/>
      <c r="C136" s="43"/>
      <c r="D136" s="43"/>
      <c r="E136" s="43"/>
      <c r="F136" s="43"/>
      <c r="G136" s="44"/>
      <c r="H136" s="45"/>
      <c r="I136" s="58"/>
      <c r="J136" s="46"/>
      <c r="K136" s="43"/>
      <c r="L136" s="45"/>
      <c r="M136" s="58"/>
      <c r="N136" s="46"/>
      <c r="O136" s="43"/>
      <c r="P136" s="55"/>
      <c r="Q136" s="46"/>
      <c r="R136" s="43"/>
      <c r="S136" s="55"/>
      <c r="T136" s="55"/>
      <c r="U136" s="46"/>
    </row>
    <row r="137" spans="1:21" s="8" customFormat="1" ht="38.25" x14ac:dyDescent="0.2">
      <c r="A137" s="53" t="s">
        <v>127</v>
      </c>
      <c r="B137" s="43"/>
      <c r="C137" s="43"/>
      <c r="D137" s="43"/>
      <c r="E137" s="43"/>
      <c r="F137" s="43"/>
      <c r="G137" s="44"/>
      <c r="H137" s="45"/>
      <c r="I137" s="58"/>
      <c r="J137" s="46"/>
      <c r="K137" s="43"/>
      <c r="L137" s="45"/>
      <c r="M137" s="58"/>
      <c r="N137" s="46"/>
      <c r="O137" s="43"/>
      <c r="P137" s="55"/>
      <c r="Q137" s="46"/>
      <c r="R137" s="43"/>
      <c r="S137" s="55"/>
      <c r="T137" s="55"/>
      <c r="U137" s="46"/>
    </row>
    <row r="138" spans="1:21" s="8" customFormat="1" ht="25.5" x14ac:dyDescent="0.2">
      <c r="A138" s="54" t="s">
        <v>128</v>
      </c>
      <c r="B138" s="43"/>
      <c r="C138" s="43"/>
      <c r="D138" s="43"/>
      <c r="E138" s="43"/>
      <c r="F138" s="43"/>
      <c r="G138" s="44"/>
      <c r="H138" s="45"/>
      <c r="I138" s="58"/>
      <c r="J138" s="46"/>
      <c r="K138" s="43"/>
      <c r="L138" s="45"/>
      <c r="M138" s="58"/>
      <c r="N138" s="46"/>
      <c r="O138" s="43"/>
      <c r="P138" s="55"/>
      <c r="Q138" s="46"/>
      <c r="R138" s="43"/>
      <c r="S138" s="55"/>
      <c r="T138" s="55"/>
      <c r="U138" s="46"/>
    </row>
    <row r="139" spans="1:21" s="8" customFormat="1" x14ac:dyDescent="0.2">
      <c r="A139" s="50" t="s">
        <v>129</v>
      </c>
      <c r="B139" s="43"/>
      <c r="C139" s="43"/>
      <c r="D139" s="43">
        <v>0</v>
      </c>
      <c r="E139" s="43"/>
      <c r="F139" s="43"/>
      <c r="G139" s="44"/>
      <c r="H139" s="45"/>
      <c r="I139" s="58"/>
      <c r="J139" s="46"/>
      <c r="K139" s="43"/>
      <c r="L139" s="45"/>
      <c r="M139" s="58"/>
      <c r="N139" s="46"/>
      <c r="O139" s="43"/>
      <c r="P139" s="55"/>
      <c r="Q139" s="46"/>
      <c r="R139" s="43"/>
      <c r="S139" s="55"/>
      <c r="T139" s="55"/>
      <c r="U139" s="46"/>
    </row>
    <row r="140" spans="1:21" s="8" customFormat="1" x14ac:dyDescent="0.2">
      <c r="A140" s="50" t="s">
        <v>130</v>
      </c>
      <c r="B140" s="43"/>
      <c r="C140" s="43"/>
      <c r="D140" s="43">
        <v>24827.701499999999</v>
      </c>
      <c r="E140" s="43">
        <v>24827.701499999999</v>
      </c>
      <c r="F140" s="43"/>
      <c r="G140" s="44"/>
      <c r="H140" s="45"/>
      <c r="I140" s="58"/>
      <c r="J140" s="46"/>
      <c r="K140" s="43"/>
      <c r="L140" s="45"/>
      <c r="M140" s="58"/>
      <c r="N140" s="46"/>
      <c r="O140" s="43"/>
      <c r="P140" s="55"/>
      <c r="Q140" s="46"/>
      <c r="R140" s="43"/>
      <c r="S140" s="55"/>
      <c r="T140" s="55"/>
      <c r="U140" s="46"/>
    </row>
    <row r="141" spans="1:21" s="8" customFormat="1" x14ac:dyDescent="0.2">
      <c r="A141" s="50" t="s">
        <v>131</v>
      </c>
      <c r="B141" s="43"/>
      <c r="C141" s="43"/>
      <c r="D141" s="43">
        <v>27000</v>
      </c>
      <c r="E141" s="43"/>
      <c r="F141" s="43"/>
      <c r="G141" s="44"/>
      <c r="H141" s="45"/>
      <c r="I141" s="58"/>
      <c r="J141" s="46">
        <v>27000</v>
      </c>
      <c r="K141" s="43"/>
      <c r="L141" s="45"/>
      <c r="M141" s="58"/>
      <c r="N141" s="46"/>
      <c r="O141" s="43"/>
      <c r="P141" s="55"/>
      <c r="Q141" s="46"/>
      <c r="R141" s="43"/>
      <c r="S141" s="55"/>
      <c r="T141" s="55"/>
      <c r="U141" s="46"/>
    </row>
    <row r="142" spans="1:21" s="8" customFormat="1" x14ac:dyDescent="0.2">
      <c r="A142" s="50" t="s">
        <v>132</v>
      </c>
      <c r="B142" s="43"/>
      <c r="C142" s="43"/>
      <c r="D142" s="43">
        <v>0</v>
      </c>
      <c r="E142" s="43">
        <v>24350.584500000001</v>
      </c>
      <c r="F142" s="43"/>
      <c r="G142" s="44"/>
      <c r="H142" s="45"/>
      <c r="I142" s="58"/>
      <c r="J142" s="46"/>
      <c r="K142" s="43"/>
      <c r="L142" s="45"/>
      <c r="M142" s="58"/>
      <c r="N142" s="46"/>
      <c r="O142" s="43"/>
      <c r="P142" s="55"/>
      <c r="Q142" s="46"/>
      <c r="R142" s="43"/>
      <c r="S142" s="55"/>
      <c r="T142" s="55"/>
      <c r="U142" s="46"/>
    </row>
    <row r="143" spans="1:21" s="8" customFormat="1" x14ac:dyDescent="0.2">
      <c r="A143" s="50" t="s">
        <v>133</v>
      </c>
      <c r="B143" s="43"/>
      <c r="C143" s="43"/>
      <c r="D143" s="43">
        <v>10219.720499999999</v>
      </c>
      <c r="E143" s="43"/>
      <c r="F143" s="43"/>
      <c r="G143" s="44"/>
      <c r="H143" s="45"/>
      <c r="I143" s="58"/>
      <c r="J143" s="46">
        <v>10351</v>
      </c>
      <c r="K143" s="43"/>
      <c r="L143" s="45"/>
      <c r="M143" s="58"/>
      <c r="N143" s="46"/>
      <c r="O143" s="43"/>
      <c r="P143" s="55"/>
      <c r="Q143" s="46"/>
      <c r="R143" s="43"/>
      <c r="S143" s="55"/>
      <c r="T143" s="55"/>
      <c r="U143" s="46"/>
    </row>
    <row r="144" spans="1:21" s="8" customFormat="1" x14ac:dyDescent="0.2">
      <c r="A144" s="50" t="s">
        <v>134</v>
      </c>
      <c r="B144" s="43"/>
      <c r="C144" s="43"/>
      <c r="D144" s="43">
        <v>0</v>
      </c>
      <c r="E144" s="43"/>
      <c r="F144" s="43"/>
      <c r="G144" s="44"/>
      <c r="H144" s="45"/>
      <c r="I144" s="58">
        <v>20169</v>
      </c>
      <c r="J144" s="46">
        <v>20169</v>
      </c>
      <c r="K144" s="43"/>
      <c r="L144" s="45"/>
      <c r="M144" s="58"/>
      <c r="N144" s="46"/>
      <c r="O144" s="43"/>
      <c r="P144" s="55"/>
      <c r="Q144" s="46"/>
      <c r="R144" s="43"/>
      <c r="S144" s="55"/>
      <c r="T144" s="55"/>
      <c r="U144" s="46"/>
    </row>
    <row r="145" spans="1:21" s="8" customFormat="1" ht="38.25" x14ac:dyDescent="0.2">
      <c r="A145" s="54" t="s">
        <v>135</v>
      </c>
      <c r="B145" s="43"/>
      <c r="C145" s="43"/>
      <c r="D145" s="43"/>
      <c r="E145" s="43"/>
      <c r="F145" s="43"/>
      <c r="G145" s="44"/>
      <c r="H145" s="45"/>
      <c r="I145" s="58"/>
      <c r="J145" s="46"/>
      <c r="K145" s="43"/>
      <c r="L145" s="45"/>
      <c r="M145" s="58"/>
      <c r="N145" s="46"/>
      <c r="O145" s="43"/>
      <c r="P145" s="55"/>
      <c r="Q145" s="46"/>
      <c r="R145" s="43"/>
      <c r="S145" s="55"/>
      <c r="T145" s="55"/>
      <c r="U145" s="46"/>
    </row>
    <row r="146" spans="1:21" s="8" customFormat="1" x14ac:dyDescent="0.2">
      <c r="A146" s="50" t="s">
        <v>130</v>
      </c>
      <c r="B146" s="43"/>
      <c r="C146" s="43"/>
      <c r="D146" s="43">
        <v>2471.8014000000003</v>
      </c>
      <c r="E146" s="43"/>
      <c r="F146" s="43"/>
      <c r="G146" s="44"/>
      <c r="H146" s="45"/>
      <c r="I146" s="58">
        <v>0</v>
      </c>
      <c r="J146" s="46">
        <f>7666-5194.19</f>
        <v>2471.8100000000004</v>
      </c>
      <c r="K146" s="43"/>
      <c r="L146" s="45"/>
      <c r="M146" s="58"/>
      <c r="N146" s="46"/>
      <c r="O146" s="43"/>
      <c r="P146" s="55"/>
      <c r="Q146" s="46"/>
      <c r="R146" s="43"/>
      <c r="S146" s="55"/>
      <c r="T146" s="55"/>
      <c r="U146" s="46"/>
    </row>
    <row r="147" spans="1:21" s="8" customFormat="1" x14ac:dyDescent="0.2">
      <c r="A147" s="50" t="s">
        <v>131</v>
      </c>
      <c r="B147" s="43"/>
      <c r="C147" s="43"/>
      <c r="D147" s="43">
        <v>5671.7503100000004</v>
      </c>
      <c r="E147" s="43"/>
      <c r="F147" s="43"/>
      <c r="G147" s="44"/>
      <c r="H147" s="45"/>
      <c r="I147" s="58">
        <v>0</v>
      </c>
      <c r="J147" s="46">
        <f>11234-5562.25</f>
        <v>5671.75</v>
      </c>
      <c r="K147" s="43"/>
      <c r="L147" s="45"/>
      <c r="M147" s="58"/>
      <c r="N147" s="46"/>
      <c r="O147" s="43"/>
      <c r="P147" s="55"/>
      <c r="Q147" s="46"/>
      <c r="R147" s="43"/>
      <c r="S147" s="55"/>
      <c r="T147" s="55"/>
      <c r="U147" s="46"/>
    </row>
    <row r="148" spans="1:21" s="8" customFormat="1" x14ac:dyDescent="0.2">
      <c r="A148" s="50" t="s">
        <v>132</v>
      </c>
      <c r="B148" s="43"/>
      <c r="C148" s="43"/>
      <c r="D148" s="43">
        <v>6694.4742200000001</v>
      </c>
      <c r="E148" s="43">
        <v>1111.8689999999999</v>
      </c>
      <c r="F148" s="43"/>
      <c r="G148" s="44"/>
      <c r="H148" s="45"/>
      <c r="I148" s="58">
        <v>0</v>
      </c>
      <c r="J148" s="46">
        <f>9432-3849.39</f>
        <v>5582.6100000000006</v>
      </c>
      <c r="K148" s="43"/>
      <c r="L148" s="45"/>
      <c r="M148" s="58"/>
      <c r="N148" s="46"/>
      <c r="O148" s="43"/>
      <c r="P148" s="55"/>
      <c r="Q148" s="46"/>
      <c r="R148" s="43"/>
      <c r="S148" s="55"/>
      <c r="T148" s="55"/>
      <c r="U148" s="46"/>
    </row>
    <row r="149" spans="1:21" s="8" customFormat="1" x14ac:dyDescent="0.2">
      <c r="A149" s="50" t="s">
        <v>133</v>
      </c>
      <c r="B149" s="43"/>
      <c r="C149" s="43"/>
      <c r="D149" s="43">
        <v>59.442999999999998</v>
      </c>
      <c r="E149" s="43"/>
      <c r="F149" s="43"/>
      <c r="G149" s="44"/>
      <c r="H149" s="45"/>
      <c r="I149" s="58">
        <f>8361.56-4726.22</f>
        <v>3635.3399999999992</v>
      </c>
      <c r="J149" s="46">
        <f>8421-4726.22</f>
        <v>3694.7799999999997</v>
      </c>
      <c r="K149" s="43"/>
      <c r="L149" s="45"/>
      <c r="M149" s="58"/>
      <c r="N149" s="46"/>
      <c r="O149" s="43"/>
      <c r="P149" s="55"/>
      <c r="Q149" s="46"/>
      <c r="R149" s="43"/>
      <c r="S149" s="55"/>
      <c r="T149" s="55"/>
      <c r="U149" s="46"/>
    </row>
    <row r="150" spans="1:21" s="8" customFormat="1" x14ac:dyDescent="0.2">
      <c r="A150" s="50" t="s">
        <v>134</v>
      </c>
      <c r="B150" s="43"/>
      <c r="C150" s="43"/>
      <c r="D150" s="43">
        <v>0</v>
      </c>
      <c r="E150" s="43"/>
      <c r="F150" s="43"/>
      <c r="G150" s="44"/>
      <c r="H150" s="45"/>
      <c r="I150" s="58">
        <f>9873-4226.4</f>
        <v>5646.6</v>
      </c>
      <c r="J150" s="46">
        <f>9873-4226.45</f>
        <v>5646.55</v>
      </c>
      <c r="K150" s="43"/>
      <c r="L150" s="45"/>
      <c r="M150" s="58"/>
      <c r="N150" s="46"/>
      <c r="O150" s="43"/>
      <c r="P150" s="55"/>
      <c r="Q150" s="46"/>
      <c r="R150" s="43"/>
      <c r="S150" s="55"/>
      <c r="T150" s="55"/>
      <c r="U150" s="46"/>
    </row>
    <row r="151" spans="1:21" s="8" customFormat="1" ht="25.5" x14ac:dyDescent="0.2">
      <c r="A151" s="53" t="s">
        <v>136</v>
      </c>
      <c r="B151" s="43"/>
      <c r="C151" s="43"/>
      <c r="D151" s="43">
        <v>13583.414140000001</v>
      </c>
      <c r="E151" s="43"/>
      <c r="F151" s="43"/>
      <c r="G151" s="44"/>
      <c r="H151" s="45"/>
      <c r="I151" s="58">
        <f>3516.58-3516.58</f>
        <v>0</v>
      </c>
      <c r="J151" s="46">
        <f>17100-3516.58</f>
        <v>13583.42</v>
      </c>
      <c r="K151" s="43"/>
      <c r="L151" s="45"/>
      <c r="M151" s="58"/>
      <c r="N151" s="46"/>
      <c r="O151" s="43"/>
      <c r="P151" s="55"/>
      <c r="Q151" s="46"/>
      <c r="R151" s="43"/>
      <c r="S151" s="55"/>
      <c r="T151" s="55"/>
      <c r="U151" s="46"/>
    </row>
    <row r="152" spans="1:21" s="8" customFormat="1" ht="25.5" x14ac:dyDescent="0.2">
      <c r="A152" s="53" t="s">
        <v>153</v>
      </c>
      <c r="B152" s="43"/>
      <c r="C152" s="43"/>
      <c r="D152" s="43"/>
      <c r="E152" s="43"/>
      <c r="F152" s="43"/>
      <c r="G152" s="44"/>
      <c r="H152" s="45"/>
      <c r="I152" s="58">
        <v>5053.58</v>
      </c>
      <c r="J152" s="46"/>
      <c r="K152" s="43"/>
      <c r="L152" s="45"/>
      <c r="M152" s="58"/>
      <c r="N152" s="58">
        <v>5053.5730000000003</v>
      </c>
      <c r="O152" s="43"/>
      <c r="P152" s="55"/>
      <c r="Q152" s="46"/>
      <c r="R152" s="43"/>
      <c r="S152" s="55"/>
      <c r="T152" s="55"/>
      <c r="U152" s="46"/>
    </row>
    <row r="153" spans="1:21" s="8" customFormat="1" ht="25.5" x14ac:dyDescent="0.2">
      <c r="A153" s="53" t="s">
        <v>154</v>
      </c>
      <c r="B153" s="43"/>
      <c r="C153" s="43"/>
      <c r="D153" s="43"/>
      <c r="E153" s="43"/>
      <c r="F153" s="43"/>
      <c r="G153" s="44"/>
      <c r="H153" s="45"/>
      <c r="I153" s="58">
        <v>5071.6099999999997</v>
      </c>
      <c r="J153" s="46"/>
      <c r="K153" s="43"/>
      <c r="L153" s="45"/>
      <c r="M153" s="58"/>
      <c r="N153" s="58">
        <v>5071.6019999999999</v>
      </c>
      <c r="O153" s="43"/>
      <c r="P153" s="55"/>
      <c r="Q153" s="46"/>
      <c r="R153" s="43"/>
      <c r="S153" s="55"/>
      <c r="T153" s="55"/>
      <c r="U153" s="46"/>
    </row>
    <row r="154" spans="1:21" s="8" customFormat="1" ht="42.75" customHeight="1" x14ac:dyDescent="0.2">
      <c r="A154" s="100" t="s">
        <v>162</v>
      </c>
      <c r="B154" s="43"/>
      <c r="C154" s="43"/>
      <c r="D154" s="43"/>
      <c r="E154" s="43"/>
      <c r="F154" s="43"/>
      <c r="G154" s="44"/>
      <c r="H154" s="45"/>
      <c r="I154" s="58"/>
      <c r="J154" s="46"/>
      <c r="K154" s="43"/>
      <c r="L154" s="45"/>
      <c r="M154" s="96">
        <v>2307.08</v>
      </c>
      <c r="N154" s="58"/>
      <c r="O154" s="43"/>
      <c r="P154" s="55"/>
      <c r="Q154" s="96">
        <v>2307.08</v>
      </c>
      <c r="R154" s="43"/>
      <c r="S154" s="55"/>
      <c r="T154" s="55"/>
      <c r="U154" s="46"/>
    </row>
    <row r="155" spans="1:21" s="8" customFormat="1" ht="42.75" customHeight="1" x14ac:dyDescent="0.2">
      <c r="A155" s="100" t="s">
        <v>164</v>
      </c>
      <c r="B155" s="43"/>
      <c r="C155" s="43"/>
      <c r="D155" s="43"/>
      <c r="E155" s="43"/>
      <c r="F155" s="43"/>
      <c r="G155" s="44"/>
      <c r="H155" s="45"/>
      <c r="I155" s="58"/>
      <c r="J155" s="46"/>
      <c r="K155" s="43"/>
      <c r="L155" s="45"/>
      <c r="M155" s="96">
        <v>3969.08</v>
      </c>
      <c r="N155" s="58"/>
      <c r="O155" s="43"/>
      <c r="P155" s="55"/>
      <c r="Q155" s="96">
        <v>3969.08</v>
      </c>
      <c r="R155" s="43"/>
      <c r="S155" s="55"/>
      <c r="T155" s="55"/>
      <c r="U155" s="46"/>
    </row>
    <row r="156" spans="1:21" s="8" customFormat="1" ht="42.75" customHeight="1" x14ac:dyDescent="0.2">
      <c r="A156" s="100" t="s">
        <v>163</v>
      </c>
      <c r="B156" s="43"/>
      <c r="C156" s="43"/>
      <c r="D156" s="43"/>
      <c r="E156" s="43"/>
      <c r="F156" s="43"/>
      <c r="G156" s="44"/>
      <c r="H156" s="45"/>
      <c r="I156" s="58"/>
      <c r="J156" s="46"/>
      <c r="K156" s="43"/>
      <c r="L156" s="45"/>
      <c r="M156" s="96">
        <v>19490.73</v>
      </c>
      <c r="N156" s="58"/>
      <c r="O156" s="43"/>
      <c r="P156" s="55"/>
      <c r="Q156" s="96">
        <v>19490.73</v>
      </c>
      <c r="R156" s="43"/>
      <c r="S156" s="55"/>
      <c r="T156" s="55"/>
      <c r="U156" s="46"/>
    </row>
    <row r="157" spans="1:21" s="8" customFormat="1" x14ac:dyDescent="0.2">
      <c r="A157" s="107" t="s">
        <v>168</v>
      </c>
      <c r="B157" s="43"/>
      <c r="C157" s="43"/>
      <c r="D157" s="43"/>
      <c r="E157" s="43"/>
      <c r="F157" s="43"/>
      <c r="G157" s="44"/>
      <c r="H157" s="45"/>
      <c r="I157" s="58"/>
      <c r="J157" s="46"/>
      <c r="K157" s="43"/>
      <c r="L157" s="45"/>
      <c r="M157" s="58"/>
      <c r="N157" s="58"/>
      <c r="O157" s="43"/>
      <c r="P157" s="55"/>
      <c r="Q157" s="46"/>
      <c r="R157" s="43"/>
      <c r="S157" s="55"/>
      <c r="T157" s="55"/>
      <c r="U157" s="46"/>
    </row>
    <row r="158" spans="1:21" s="8" customFormat="1" x14ac:dyDescent="0.2">
      <c r="A158" s="53" t="s">
        <v>169</v>
      </c>
      <c r="B158" s="43"/>
      <c r="C158" s="43"/>
      <c r="D158" s="43"/>
      <c r="E158" s="43"/>
      <c r="F158" s="43"/>
      <c r="G158" s="44"/>
      <c r="H158" s="58">
        <v>0</v>
      </c>
      <c r="I158" s="58"/>
      <c r="J158" s="46"/>
      <c r="K158" s="43"/>
      <c r="L158" s="58"/>
      <c r="M158" s="58">
        <v>24926</v>
      </c>
      <c r="N158" s="58"/>
      <c r="O158" s="55"/>
      <c r="P158" s="55">
        <v>5600</v>
      </c>
      <c r="Q158" s="55"/>
      <c r="R158" s="46"/>
      <c r="S158" s="55"/>
      <c r="T158" s="55"/>
      <c r="U158" s="46"/>
    </row>
    <row r="159" spans="1:21" s="8" customFormat="1" x14ac:dyDescent="0.2">
      <c r="A159" s="53" t="s">
        <v>170</v>
      </c>
      <c r="B159" s="43"/>
      <c r="C159" s="43"/>
      <c r="D159" s="43"/>
      <c r="E159" s="43"/>
      <c r="F159" s="43"/>
      <c r="G159" s="44"/>
      <c r="H159" s="58"/>
      <c r="I159" s="58">
        <v>100079</v>
      </c>
      <c r="J159" s="46"/>
      <c r="K159" s="43"/>
      <c r="L159" s="58">
        <v>99900</v>
      </c>
      <c r="M159" s="58"/>
      <c r="N159" s="58"/>
      <c r="O159" s="55"/>
      <c r="P159" s="55">
        <v>5000</v>
      </c>
      <c r="Q159" s="55"/>
      <c r="R159" s="46"/>
      <c r="S159" s="55"/>
      <c r="T159" s="55"/>
      <c r="U159" s="46"/>
    </row>
    <row r="160" spans="1:21" s="8" customFormat="1" x14ac:dyDescent="0.2">
      <c r="A160" s="53" t="s">
        <v>171</v>
      </c>
      <c r="B160" s="43"/>
      <c r="C160" s="43"/>
      <c r="D160" s="43"/>
      <c r="E160" s="43"/>
      <c r="F160" s="43"/>
      <c r="G160" s="44"/>
      <c r="H160" s="58"/>
      <c r="I160" s="58">
        <v>3064</v>
      </c>
      <c r="J160" s="46"/>
      <c r="K160" s="43"/>
      <c r="L160" s="58">
        <v>305361</v>
      </c>
      <c r="M160" s="58"/>
      <c r="N160" s="58"/>
      <c r="O160" s="55"/>
      <c r="P160" s="55">
        <v>0</v>
      </c>
      <c r="Q160" s="55"/>
      <c r="R160" s="46"/>
      <c r="S160" s="55"/>
      <c r="T160" s="55"/>
      <c r="U160" s="46"/>
    </row>
    <row r="161" spans="1:21" s="8" customFormat="1" x14ac:dyDescent="0.2">
      <c r="A161" s="53" t="s">
        <v>172</v>
      </c>
      <c r="B161" s="43"/>
      <c r="C161" s="43"/>
      <c r="D161" s="43"/>
      <c r="E161" s="43"/>
      <c r="F161" s="43"/>
      <c r="G161" s="44"/>
      <c r="H161" s="58">
        <v>77321</v>
      </c>
      <c r="I161" s="58"/>
      <c r="J161" s="46"/>
      <c r="K161" s="43"/>
      <c r="L161" s="58">
        <v>110650</v>
      </c>
      <c r="M161" s="58"/>
      <c r="N161" s="58"/>
      <c r="O161" s="55"/>
      <c r="P161" s="55">
        <v>80000</v>
      </c>
      <c r="Q161" s="55"/>
      <c r="R161" s="46"/>
      <c r="S161" s="55"/>
      <c r="T161" s="55"/>
      <c r="U161" s="46"/>
    </row>
    <row r="162" spans="1:21" s="8" customFormat="1" x14ac:dyDescent="0.2">
      <c r="A162" s="53" t="s">
        <v>173</v>
      </c>
      <c r="B162" s="43"/>
      <c r="C162" s="43"/>
      <c r="D162" s="43"/>
      <c r="E162" s="43"/>
      <c r="F162" s="43"/>
      <c r="G162" s="44"/>
      <c r="H162" s="58">
        <v>31886.7</v>
      </c>
      <c r="I162" s="58"/>
      <c r="J162" s="46"/>
      <c r="K162" s="43"/>
      <c r="L162" s="58">
        <v>120184.2</v>
      </c>
      <c r="M162" s="58"/>
      <c r="N162" s="58"/>
      <c r="O162" s="55"/>
      <c r="P162" s="55">
        <v>38200</v>
      </c>
      <c r="Q162" s="55"/>
      <c r="R162" s="46"/>
      <c r="S162" s="55"/>
      <c r="T162" s="55"/>
      <c r="U162" s="46"/>
    </row>
    <row r="163" spans="1:21" s="8" customFormat="1" x14ac:dyDescent="0.2">
      <c r="A163" s="53" t="s">
        <v>174</v>
      </c>
      <c r="B163" s="43"/>
      <c r="C163" s="43"/>
      <c r="D163" s="43"/>
      <c r="E163" s="43"/>
      <c r="F163" s="43"/>
      <c r="G163" s="44"/>
      <c r="H163" s="58">
        <v>94775</v>
      </c>
      <c r="I163" s="58"/>
      <c r="J163" s="46"/>
      <c r="K163" s="43"/>
      <c r="L163" s="58">
        <v>195375.26500000001</v>
      </c>
      <c r="M163" s="58"/>
      <c r="N163" s="58"/>
      <c r="O163" s="55"/>
      <c r="P163" s="55">
        <v>41980</v>
      </c>
      <c r="Q163" s="55"/>
      <c r="R163" s="46"/>
      <c r="S163" s="55"/>
      <c r="T163" s="55"/>
      <c r="U163" s="46"/>
    </row>
    <row r="164" spans="1:21" s="8" customFormat="1" x14ac:dyDescent="0.2">
      <c r="A164" s="53" t="s">
        <v>175</v>
      </c>
      <c r="B164" s="43"/>
      <c r="C164" s="43"/>
      <c r="D164" s="43"/>
      <c r="E164" s="43"/>
      <c r="F164" s="43"/>
      <c r="G164" s="44"/>
      <c r="H164" s="58">
        <v>41932.316560000007</v>
      </c>
      <c r="I164" s="58"/>
      <c r="J164" s="46"/>
      <c r="K164" s="43"/>
      <c r="L164" s="58"/>
      <c r="M164" s="58">
        <v>40572.828000000009</v>
      </c>
      <c r="N164" s="58"/>
      <c r="O164" s="55"/>
      <c r="P164" s="55">
        <v>62651.048999999999</v>
      </c>
      <c r="Q164" s="55"/>
      <c r="R164" s="46"/>
      <c r="S164" s="55"/>
      <c r="T164" s="55"/>
      <c r="U164" s="46"/>
    </row>
    <row r="165" spans="1:21" s="8" customFormat="1" x14ac:dyDescent="0.2">
      <c r="A165" s="53" t="s">
        <v>176</v>
      </c>
      <c r="B165" s="43"/>
      <c r="C165" s="43"/>
      <c r="D165" s="43"/>
      <c r="E165" s="43"/>
      <c r="F165" s="43"/>
      <c r="G165" s="44"/>
      <c r="H165" s="58">
        <v>0</v>
      </c>
      <c r="I165" s="58"/>
      <c r="J165" s="46"/>
      <c r="K165" s="43"/>
      <c r="L165" s="58">
        <v>0</v>
      </c>
      <c r="M165" s="58"/>
      <c r="N165" s="58"/>
      <c r="O165" s="55">
        <v>0</v>
      </c>
      <c r="P165" s="55"/>
      <c r="Q165" s="55"/>
      <c r="R165" s="46"/>
      <c r="S165" s="55"/>
      <c r="T165" s="55"/>
      <c r="U165" s="46"/>
    </row>
    <row r="166" spans="1:21" s="8" customFormat="1" x14ac:dyDescent="0.2">
      <c r="A166" s="53" t="s">
        <v>177</v>
      </c>
      <c r="B166" s="43"/>
      <c r="C166" s="43"/>
      <c r="D166" s="43"/>
      <c r="E166" s="43"/>
      <c r="F166" s="43"/>
      <c r="G166" s="44"/>
      <c r="H166" s="58">
        <v>42290</v>
      </c>
      <c r="I166" s="58"/>
      <c r="J166" s="46"/>
      <c r="K166" s="43"/>
      <c r="L166" s="58">
        <v>3370</v>
      </c>
      <c r="M166" s="58"/>
      <c r="N166" s="58"/>
      <c r="O166" s="55"/>
      <c r="P166" s="55">
        <v>11600</v>
      </c>
      <c r="Q166" s="55"/>
      <c r="R166" s="46"/>
      <c r="S166" s="55"/>
      <c r="T166" s="55"/>
      <c r="U166" s="46"/>
    </row>
    <row r="167" spans="1:21" s="8" customFormat="1" x14ac:dyDescent="0.2">
      <c r="A167" s="53" t="s">
        <v>178</v>
      </c>
      <c r="B167" s="43"/>
      <c r="C167" s="43"/>
      <c r="D167" s="43"/>
      <c r="E167" s="43"/>
      <c r="F167" s="43"/>
      <c r="G167" s="44"/>
      <c r="H167" s="58">
        <v>442</v>
      </c>
      <c r="I167" s="58"/>
      <c r="J167" s="46"/>
      <c r="K167" s="43"/>
      <c r="L167" s="58"/>
      <c r="M167" s="58">
        <v>71415.120999999999</v>
      </c>
      <c r="N167" s="58"/>
      <c r="O167" s="55"/>
      <c r="P167" s="55">
        <v>22987</v>
      </c>
      <c r="Q167" s="55"/>
      <c r="R167" s="46"/>
      <c r="S167" s="55"/>
      <c r="T167" s="55"/>
      <c r="U167" s="46"/>
    </row>
    <row r="168" spans="1:21" s="8" customFormat="1" x14ac:dyDescent="0.2">
      <c r="A168" s="53"/>
      <c r="B168" s="43"/>
      <c r="C168" s="43"/>
      <c r="D168" s="43"/>
      <c r="E168" s="43"/>
      <c r="F168" s="43"/>
      <c r="G168" s="44"/>
      <c r="H168" s="45"/>
      <c r="I168" s="58"/>
      <c r="J168" s="46"/>
      <c r="K168" s="43"/>
      <c r="L168" s="45"/>
      <c r="M168" s="58"/>
      <c r="N168" s="58"/>
      <c r="O168" s="43"/>
      <c r="P168" s="55"/>
      <c r="Q168" s="46"/>
      <c r="R168" s="43"/>
      <c r="S168" s="55"/>
      <c r="T168" s="55"/>
      <c r="U168" s="46"/>
    </row>
    <row r="169" spans="1:21" s="8" customFormat="1" x14ac:dyDescent="0.2">
      <c r="A169" s="17" t="s">
        <v>138</v>
      </c>
      <c r="B169" s="25">
        <f>SUM(B126:B156)</f>
        <v>0</v>
      </c>
      <c r="C169" s="25">
        <f t="shared" ref="C169" si="10">SUM(C126:C156)</f>
        <v>0</v>
      </c>
      <c r="D169" s="25">
        <f>SUM(D126:D167)</f>
        <v>148609.02007999999</v>
      </c>
      <c r="E169" s="25">
        <f t="shared" ref="E169:U169" si="11">SUM(E126:E167)</f>
        <v>50290.154999999999</v>
      </c>
      <c r="F169" s="25">
        <f t="shared" si="11"/>
        <v>0</v>
      </c>
      <c r="G169" s="25">
        <f t="shared" si="11"/>
        <v>0</v>
      </c>
      <c r="H169" s="25">
        <f t="shared" si="11"/>
        <v>288647.01656000002</v>
      </c>
      <c r="I169" s="25">
        <f t="shared" si="11"/>
        <v>201328.67</v>
      </c>
      <c r="J169" s="25">
        <f t="shared" si="11"/>
        <v>159478.22999999998</v>
      </c>
      <c r="K169" s="25">
        <f t="shared" si="11"/>
        <v>0</v>
      </c>
      <c r="L169" s="25">
        <f>SUM(L126:L167)</f>
        <v>834840.46499999997</v>
      </c>
      <c r="M169" s="25">
        <f t="shared" si="11"/>
        <v>162680.83900000001</v>
      </c>
      <c r="N169" s="25">
        <f t="shared" si="11"/>
        <v>62662.595000000001</v>
      </c>
      <c r="O169" s="25">
        <f t="shared" si="11"/>
        <v>0</v>
      </c>
      <c r="P169" s="25">
        <f t="shared" si="11"/>
        <v>268018.049</v>
      </c>
      <c r="Q169" s="25">
        <f t="shared" si="11"/>
        <v>25766.89</v>
      </c>
      <c r="R169" s="25">
        <f t="shared" si="11"/>
        <v>0</v>
      </c>
      <c r="S169" s="25">
        <f t="shared" si="11"/>
        <v>0</v>
      </c>
      <c r="T169" s="25">
        <f t="shared" si="11"/>
        <v>0</v>
      </c>
      <c r="U169" s="25">
        <f t="shared" si="11"/>
        <v>0</v>
      </c>
    </row>
    <row r="170" spans="1:21" s="8" customFormat="1" x14ac:dyDescent="0.2">
      <c r="A170" s="2"/>
      <c r="B170" s="29"/>
      <c r="C170" s="29"/>
      <c r="D170" s="29"/>
      <c r="E170" s="29"/>
      <c r="F170" s="29"/>
      <c r="G170" s="3"/>
      <c r="H170" s="3"/>
      <c r="I170" s="3"/>
      <c r="J170" s="64"/>
      <c r="K170" s="29"/>
      <c r="L170" s="3"/>
      <c r="M170" s="3"/>
      <c r="N170" s="30"/>
      <c r="O170" s="29"/>
      <c r="P170" s="3"/>
      <c r="Q170" s="30"/>
      <c r="R170" s="29"/>
      <c r="S170" s="3"/>
      <c r="T170" s="3"/>
      <c r="U170" s="30"/>
    </row>
    <row r="171" spans="1:21" s="8" customFormat="1" ht="13.5" thickBot="1" x14ac:dyDescent="0.25">
      <c r="A171" s="13" t="s">
        <v>6</v>
      </c>
      <c r="B171" s="48">
        <v>0</v>
      </c>
      <c r="C171" s="48">
        <v>484254.09123000002</v>
      </c>
      <c r="D171" s="48">
        <f t="shared" ref="D171:U171" si="12">SUM(D169,D123,D121,D116,D113,D103,D62,D49,D34)</f>
        <v>460897.52007999999</v>
      </c>
      <c r="E171" s="48">
        <f t="shared" si="12"/>
        <v>382266.45500000002</v>
      </c>
      <c r="F171" s="48">
        <f t="shared" si="12"/>
        <v>199479.2</v>
      </c>
      <c r="G171" s="48">
        <f t="shared" si="12"/>
        <v>0</v>
      </c>
      <c r="H171" s="48">
        <f>SUM(H169,H123,H121,H116,H113,H103,H62,H49,H34)</f>
        <v>1018887.01656</v>
      </c>
      <c r="I171" s="48">
        <f t="shared" si="12"/>
        <v>889682.94</v>
      </c>
      <c r="J171" s="48">
        <f t="shared" si="12"/>
        <v>743745.28</v>
      </c>
      <c r="K171" s="48">
        <f t="shared" si="12"/>
        <v>0</v>
      </c>
      <c r="L171" s="48">
        <f t="shared" si="12"/>
        <v>1853089.4649999999</v>
      </c>
      <c r="M171" s="48">
        <f t="shared" si="12"/>
        <v>1082008.419</v>
      </c>
      <c r="N171" s="48">
        <f t="shared" si="12"/>
        <v>790900.58499999996</v>
      </c>
      <c r="O171" s="48">
        <f t="shared" si="12"/>
        <v>471228</v>
      </c>
      <c r="P171" s="48">
        <f t="shared" si="12"/>
        <v>1074172.0490000001</v>
      </c>
      <c r="Q171" s="48">
        <f t="shared" si="12"/>
        <v>1439281.8900000001</v>
      </c>
      <c r="R171" s="48">
        <f t="shared" si="12"/>
        <v>671044</v>
      </c>
      <c r="S171" s="48">
        <f t="shared" si="12"/>
        <v>0</v>
      </c>
      <c r="T171" s="48">
        <f t="shared" si="12"/>
        <v>0</v>
      </c>
      <c r="U171" s="48">
        <f t="shared" si="12"/>
        <v>125615</v>
      </c>
    </row>
    <row r="173" spans="1:21" s="14" customFormat="1" x14ac:dyDescent="0.2">
      <c r="A173" s="4"/>
      <c r="B173" s="4">
        <v>2019</v>
      </c>
      <c r="C173" s="4">
        <v>2020</v>
      </c>
      <c r="D173" s="4">
        <v>2021</v>
      </c>
      <c r="E173" s="4">
        <v>2022</v>
      </c>
      <c r="F173" s="4">
        <v>2023</v>
      </c>
      <c r="G173" s="4">
        <v>2024</v>
      </c>
      <c r="H173" s="4" t="s">
        <v>146</v>
      </c>
    </row>
    <row r="174" spans="1:21" s="14" customFormat="1" x14ac:dyDescent="0.2">
      <c r="A174" s="49" t="s">
        <v>33</v>
      </c>
      <c r="B174" s="10"/>
      <c r="C174" s="10"/>
      <c r="D174" s="10">
        <f>F171</f>
        <v>199479.2</v>
      </c>
      <c r="E174" s="10"/>
      <c r="F174" s="10"/>
      <c r="G174" s="10"/>
      <c r="H174" s="10">
        <f>SUM(B174:G174)</f>
        <v>199479.2</v>
      </c>
    </row>
    <row r="175" spans="1:21" s="14" customFormat="1" x14ac:dyDescent="0.2">
      <c r="A175" s="49" t="s">
        <v>152</v>
      </c>
      <c r="B175" s="10"/>
      <c r="C175" s="10"/>
      <c r="D175" s="10">
        <f>H171</f>
        <v>1018887.01656</v>
      </c>
      <c r="E175" s="10">
        <f>L171</f>
        <v>1853089.4649999999</v>
      </c>
      <c r="F175" s="10">
        <f>O171</f>
        <v>471228</v>
      </c>
      <c r="G175" s="10">
        <f>R171</f>
        <v>671044</v>
      </c>
      <c r="H175" s="10">
        <f t="shared" ref="H175:H177" si="13">SUM(B175:G175)</f>
        <v>4014248.4815599998</v>
      </c>
      <c r="I175" s="88">
        <f>H175-3000000</f>
        <v>1014248.4815599998</v>
      </c>
    </row>
    <row r="176" spans="1:21" s="14" customFormat="1" ht="13.5" thickBot="1" x14ac:dyDescent="0.25">
      <c r="A176" s="76"/>
      <c r="B176" s="77"/>
      <c r="C176" s="77"/>
      <c r="D176" s="109">
        <f>D175</f>
        <v>1018887.01656</v>
      </c>
      <c r="E176" s="109">
        <f>D176+E175</f>
        <v>2871976.4815599998</v>
      </c>
      <c r="F176" s="109">
        <f>E176+F175</f>
        <v>3343204.4815599998</v>
      </c>
      <c r="G176" s="109">
        <f>F176+G175</f>
        <v>4014248.4815599998</v>
      </c>
      <c r="H176" s="77"/>
    </row>
    <row r="177" spans="1:9" s="14" customFormat="1" x14ac:dyDescent="0.2">
      <c r="A177" s="78" t="s">
        <v>145</v>
      </c>
      <c r="B177" s="79">
        <f>C171</f>
        <v>484254.09123000002</v>
      </c>
      <c r="C177" s="79">
        <f>D171</f>
        <v>460897.52007999999</v>
      </c>
      <c r="D177" s="79">
        <f>G171+I171</f>
        <v>889682.94</v>
      </c>
      <c r="E177" s="79">
        <f>M171</f>
        <v>1082008.419</v>
      </c>
      <c r="F177" s="79">
        <f>P171</f>
        <v>1074172.0490000001</v>
      </c>
      <c r="G177" s="79">
        <f>T171</f>
        <v>0</v>
      </c>
      <c r="H177" s="80">
        <f t="shared" si="13"/>
        <v>3991015.0193099999</v>
      </c>
    </row>
    <row r="178" spans="1:9" s="14" customFormat="1" x14ac:dyDescent="0.2">
      <c r="A178" s="81" t="s">
        <v>141</v>
      </c>
      <c r="B178" s="10"/>
      <c r="C178" s="10">
        <f>E171</f>
        <v>382266.45500000002</v>
      </c>
      <c r="D178" s="10">
        <f>J171</f>
        <v>743745.28</v>
      </c>
      <c r="E178" s="10">
        <f>N171</f>
        <v>790900.58499999996</v>
      </c>
      <c r="F178" s="10">
        <f>Q171</f>
        <v>1439281.8900000001</v>
      </c>
      <c r="G178" s="10">
        <f>U171+S124</f>
        <v>125615</v>
      </c>
      <c r="H178" s="82">
        <f>SUM(B178:G178)</f>
        <v>3481809.21</v>
      </c>
      <c r="I178" s="14">
        <f>H177-H178</f>
        <v>509205.80930999992</v>
      </c>
    </row>
    <row r="179" spans="1:9" s="14" customFormat="1" ht="13.5" thickBot="1" x14ac:dyDescent="0.25">
      <c r="A179" s="83" t="s">
        <v>150</v>
      </c>
      <c r="B179" s="84"/>
      <c r="C179" s="85">
        <f>B177+C177-C178</f>
        <v>562885.15630999999</v>
      </c>
      <c r="D179" s="85">
        <f>C179+D177-D178</f>
        <v>708822.81630999991</v>
      </c>
      <c r="E179" s="85">
        <f>D179+E177-E178</f>
        <v>999930.65030999994</v>
      </c>
      <c r="F179" s="85">
        <f t="shared" ref="F179:G179" si="14">E179+F177-F178</f>
        <v>634820.80930999992</v>
      </c>
      <c r="G179" s="85">
        <f t="shared" si="14"/>
        <v>509205.80930999992</v>
      </c>
      <c r="H179" s="86"/>
    </row>
  </sheetData>
  <autoFilter ref="A1:U116" xr:uid="{4ABA3BC3-8023-4B4C-A20D-DE4822BA870B}"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5">
    <mergeCell ref="A1:A2"/>
    <mergeCell ref="F1:J1"/>
    <mergeCell ref="K1:N1"/>
    <mergeCell ref="O1:Q1"/>
    <mergeCell ref="R1:U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51C44-D4DC-4B48-AF71-0F4C7B66B436}">
  <dimension ref="A1:U162"/>
  <sheetViews>
    <sheetView workbookViewId="0">
      <selection sqref="A1:A2"/>
    </sheetView>
  </sheetViews>
  <sheetFormatPr defaultColWidth="9.140625" defaultRowHeight="12.75" x14ac:dyDescent="0.2"/>
  <cols>
    <col min="1" max="1" width="52.42578125" style="4" customWidth="1"/>
    <col min="2" max="21" width="14.7109375" style="14" customWidth="1"/>
    <col min="22" max="16384" width="9.140625" style="4"/>
  </cols>
  <sheetData>
    <row r="1" spans="1:21" ht="21" customHeight="1" x14ac:dyDescent="0.2">
      <c r="A1" s="372" t="s">
        <v>0</v>
      </c>
      <c r="B1" s="71">
        <v>2018</v>
      </c>
      <c r="C1" s="71" t="s">
        <v>149</v>
      </c>
      <c r="D1" s="71" t="s">
        <v>147</v>
      </c>
      <c r="E1" s="71" t="s">
        <v>148</v>
      </c>
      <c r="F1" s="374" t="s">
        <v>113</v>
      </c>
      <c r="G1" s="368"/>
      <c r="H1" s="368"/>
      <c r="I1" s="368"/>
      <c r="J1" s="375"/>
      <c r="K1" s="367" t="s">
        <v>114</v>
      </c>
      <c r="L1" s="370"/>
      <c r="M1" s="371"/>
      <c r="N1" s="369"/>
      <c r="O1" s="367" t="s">
        <v>115</v>
      </c>
      <c r="P1" s="368"/>
      <c r="Q1" s="369"/>
      <c r="R1" s="367" t="s">
        <v>116</v>
      </c>
      <c r="S1" s="368"/>
      <c r="T1" s="368"/>
      <c r="U1" s="369"/>
    </row>
    <row r="2" spans="1:21" ht="25.5" x14ac:dyDescent="0.2">
      <c r="A2" s="373"/>
      <c r="B2" s="21"/>
      <c r="C2" s="21"/>
      <c r="D2" s="21"/>
      <c r="E2" s="21"/>
      <c r="F2" s="21" t="s">
        <v>143</v>
      </c>
      <c r="G2" s="75" t="s">
        <v>36</v>
      </c>
      <c r="H2" s="5" t="s">
        <v>152</v>
      </c>
      <c r="I2" s="57" t="s">
        <v>139</v>
      </c>
      <c r="J2" s="22" t="s">
        <v>140</v>
      </c>
      <c r="K2" s="21" t="s">
        <v>143</v>
      </c>
      <c r="L2" s="5" t="s">
        <v>152</v>
      </c>
      <c r="M2" s="57" t="s">
        <v>139</v>
      </c>
      <c r="N2" s="22" t="s">
        <v>140</v>
      </c>
      <c r="O2" s="5" t="s">
        <v>152</v>
      </c>
      <c r="P2" s="57" t="s">
        <v>139</v>
      </c>
      <c r="Q2" s="22" t="s">
        <v>140</v>
      </c>
      <c r="R2" s="5" t="s">
        <v>152</v>
      </c>
      <c r="S2" s="75" t="s">
        <v>36</v>
      </c>
      <c r="T2" s="57" t="s">
        <v>139</v>
      </c>
      <c r="U2" s="22" t="s">
        <v>140</v>
      </c>
    </row>
    <row r="3" spans="1:21" s="37" customFormat="1" x14ac:dyDescent="0.2">
      <c r="A3" s="38" t="s">
        <v>94</v>
      </c>
      <c r="B3" s="43"/>
      <c r="C3" s="43"/>
      <c r="D3" s="43"/>
      <c r="E3" s="43"/>
      <c r="F3" s="43"/>
      <c r="G3" s="44"/>
      <c r="H3" s="45"/>
      <c r="I3" s="58">
        <v>61500</v>
      </c>
      <c r="J3" s="46"/>
      <c r="K3" s="43"/>
      <c r="L3" s="45"/>
      <c r="M3" s="45">
        <v>12000</v>
      </c>
      <c r="N3" s="46">
        <v>73500</v>
      </c>
      <c r="O3" s="43"/>
      <c r="P3" s="45"/>
      <c r="Q3" s="46"/>
      <c r="R3" s="43"/>
      <c r="S3" s="55"/>
      <c r="T3" s="55"/>
      <c r="U3" s="46"/>
    </row>
    <row r="4" spans="1:21" s="37" customFormat="1" x14ac:dyDescent="0.2">
      <c r="A4" s="38" t="s">
        <v>95</v>
      </c>
      <c r="B4" s="43"/>
      <c r="C4" s="43"/>
      <c r="D4" s="43"/>
      <c r="E4" s="43"/>
      <c r="F4" s="43"/>
      <c r="G4" s="44"/>
      <c r="H4" s="45"/>
      <c r="I4" s="58"/>
      <c r="J4" s="46"/>
      <c r="K4" s="43"/>
      <c r="L4" s="45"/>
      <c r="M4" s="45">
        <v>41615</v>
      </c>
      <c r="N4" s="46"/>
      <c r="O4" s="43"/>
      <c r="P4" s="45">
        <v>125000</v>
      </c>
      <c r="Q4" s="46">
        <v>41000</v>
      </c>
      <c r="R4" s="43"/>
      <c r="S4" s="55"/>
      <c r="T4" s="55"/>
      <c r="U4" s="46">
        <v>125615</v>
      </c>
    </row>
    <row r="5" spans="1:21" s="37" customFormat="1" ht="25.5" x14ac:dyDescent="0.2">
      <c r="A5" s="38" t="s">
        <v>96</v>
      </c>
      <c r="B5" s="43"/>
      <c r="C5" s="43"/>
      <c r="D5" s="43"/>
      <c r="E5" s="43"/>
      <c r="F5" s="43"/>
      <c r="G5" s="44"/>
      <c r="H5" s="45"/>
      <c r="I5" s="58">
        <v>61250</v>
      </c>
      <c r="J5" s="46"/>
      <c r="K5" s="43"/>
      <c r="L5" s="45"/>
      <c r="M5" s="45"/>
      <c r="N5" s="46">
        <v>61250</v>
      </c>
      <c r="O5" s="43"/>
      <c r="P5" s="45"/>
      <c r="Q5" s="46"/>
      <c r="R5" s="43"/>
      <c r="S5" s="55"/>
      <c r="T5" s="55"/>
      <c r="U5" s="46"/>
    </row>
    <row r="6" spans="1:21" s="37" customFormat="1" x14ac:dyDescent="0.2">
      <c r="A6" s="38" t="s">
        <v>97</v>
      </c>
      <c r="B6" s="43"/>
      <c r="C6" s="43"/>
      <c r="D6" s="43"/>
      <c r="E6" s="43">
        <v>49812.41</v>
      </c>
      <c r="F6" s="43"/>
      <c r="G6" s="44"/>
      <c r="H6" s="45"/>
      <c r="I6" s="58"/>
      <c r="J6" s="46"/>
      <c r="K6" s="43"/>
      <c r="L6" s="45"/>
      <c r="M6" s="45"/>
      <c r="N6" s="46"/>
      <c r="O6" s="43"/>
      <c r="P6" s="45"/>
      <c r="Q6" s="46"/>
      <c r="R6" s="43"/>
      <c r="S6" s="55"/>
      <c r="T6" s="55"/>
      <c r="U6" s="46"/>
    </row>
    <row r="7" spans="1:21" s="37" customFormat="1" x14ac:dyDescent="0.2">
      <c r="A7" s="39" t="s">
        <v>37</v>
      </c>
      <c r="B7" s="43"/>
      <c r="C7" s="43"/>
      <c r="D7" s="43">
        <v>26008.13</v>
      </c>
      <c r="E7" s="43"/>
      <c r="F7" s="43"/>
      <c r="G7" s="44"/>
      <c r="H7" s="45"/>
      <c r="I7" s="58"/>
      <c r="J7" s="46">
        <v>26375.15</v>
      </c>
      <c r="K7" s="43"/>
      <c r="L7" s="45"/>
      <c r="M7" s="45"/>
      <c r="N7" s="46"/>
      <c r="O7" s="43"/>
      <c r="P7" s="45"/>
      <c r="Q7" s="46"/>
      <c r="R7" s="43"/>
      <c r="S7" s="55"/>
      <c r="T7" s="55"/>
      <c r="U7" s="46"/>
    </row>
    <row r="8" spans="1:21" s="37" customFormat="1" x14ac:dyDescent="0.2">
      <c r="A8" s="39" t="s">
        <v>39</v>
      </c>
      <c r="B8" s="43"/>
      <c r="C8" s="43"/>
      <c r="D8" s="43"/>
      <c r="E8" s="43">
        <v>28692.21</v>
      </c>
      <c r="F8" s="43"/>
      <c r="G8" s="44"/>
      <c r="H8" s="45"/>
      <c r="I8" s="58"/>
      <c r="J8" s="46"/>
      <c r="K8" s="43"/>
      <c r="L8" s="45"/>
      <c r="M8" s="45"/>
      <c r="N8" s="46"/>
      <c r="O8" s="43"/>
      <c r="P8" s="45"/>
      <c r="Q8" s="46"/>
      <c r="R8" s="43"/>
      <c r="S8" s="55"/>
      <c r="T8" s="55"/>
      <c r="U8" s="46"/>
    </row>
    <row r="9" spans="1:21" s="37" customFormat="1" x14ac:dyDescent="0.2">
      <c r="A9" s="39" t="s">
        <v>142</v>
      </c>
      <c r="B9" s="43"/>
      <c r="C9" s="43"/>
      <c r="D9" s="43">
        <v>35376.769999999997</v>
      </c>
      <c r="E9" s="43"/>
      <c r="F9" s="43"/>
      <c r="G9" s="44"/>
      <c r="H9" s="45"/>
      <c r="I9" s="58"/>
      <c r="J9" s="46">
        <v>128367.44</v>
      </c>
      <c r="K9" s="43"/>
      <c r="L9" s="45"/>
      <c r="M9" s="45"/>
      <c r="N9" s="46"/>
      <c r="O9" s="43"/>
      <c r="P9" s="45"/>
      <c r="Q9" s="46"/>
      <c r="R9" s="43"/>
      <c r="S9" s="55"/>
      <c r="T9" s="55"/>
      <c r="U9" s="46"/>
    </row>
    <row r="10" spans="1:21" s="37" customFormat="1" ht="25.5" x14ac:dyDescent="0.2">
      <c r="A10" s="39" t="s">
        <v>38</v>
      </c>
      <c r="B10" s="43"/>
      <c r="C10" s="43"/>
      <c r="D10" s="43">
        <v>33997.089999999997</v>
      </c>
      <c r="E10" s="43"/>
      <c r="F10" s="43"/>
      <c r="G10" s="44"/>
      <c r="H10" s="45"/>
      <c r="I10" s="58"/>
      <c r="J10" s="46">
        <v>68490.75</v>
      </c>
      <c r="K10" s="43"/>
      <c r="L10" s="45"/>
      <c r="M10" s="45"/>
      <c r="N10" s="46"/>
      <c r="O10" s="43"/>
      <c r="P10" s="45"/>
      <c r="Q10" s="46"/>
      <c r="R10" s="43"/>
      <c r="S10" s="55"/>
      <c r="T10" s="55"/>
      <c r="U10" s="46"/>
    </row>
    <row r="11" spans="1:21" s="37" customFormat="1" ht="25.5" x14ac:dyDescent="0.2">
      <c r="A11" s="39" t="s">
        <v>40</v>
      </c>
      <c r="B11" s="43"/>
      <c r="C11" s="43"/>
      <c r="D11" s="43">
        <v>20356.8</v>
      </c>
      <c r="E11" s="43">
        <v>82232.67</v>
      </c>
      <c r="F11" s="43"/>
      <c r="G11" s="44"/>
      <c r="H11" s="45"/>
      <c r="I11" s="58"/>
      <c r="J11" s="46"/>
      <c r="K11" s="43"/>
      <c r="L11" s="45"/>
      <c r="M11" s="45"/>
      <c r="N11" s="46"/>
      <c r="O11" s="43"/>
      <c r="P11" s="45"/>
      <c r="Q11" s="46"/>
      <c r="R11" s="43"/>
      <c r="S11" s="55"/>
      <c r="T11" s="55"/>
      <c r="U11" s="46"/>
    </row>
    <row r="12" spans="1:21" s="37" customFormat="1" ht="25.5" x14ac:dyDescent="0.2">
      <c r="A12" s="39" t="s">
        <v>41</v>
      </c>
      <c r="B12" s="43"/>
      <c r="C12" s="43"/>
      <c r="D12" s="43">
        <v>190.46</v>
      </c>
      <c r="E12" s="43"/>
      <c r="F12" s="43"/>
      <c r="G12" s="44"/>
      <c r="H12" s="45"/>
      <c r="I12" s="58">
        <f>40720+2059.53</f>
        <v>42779.53</v>
      </c>
      <c r="J12" s="46">
        <v>42970</v>
      </c>
      <c r="K12" s="43"/>
      <c r="L12" s="45"/>
      <c r="M12" s="45"/>
      <c r="N12" s="46"/>
      <c r="O12" s="43"/>
      <c r="P12" s="45"/>
      <c r="Q12" s="46"/>
      <c r="R12" s="43"/>
      <c r="S12" s="55"/>
      <c r="T12" s="55"/>
      <c r="U12" s="46"/>
    </row>
    <row r="13" spans="1:21" s="37" customFormat="1" ht="25.5" x14ac:dyDescent="0.2">
      <c r="A13" s="39" t="s">
        <v>43</v>
      </c>
      <c r="B13" s="43"/>
      <c r="C13" s="43"/>
      <c r="D13" s="43"/>
      <c r="E13" s="43"/>
      <c r="F13" s="43"/>
      <c r="G13" s="44"/>
      <c r="H13" s="45"/>
      <c r="I13" s="58">
        <v>73420</v>
      </c>
      <c r="J13" s="46"/>
      <c r="K13" s="43"/>
      <c r="L13" s="45"/>
      <c r="M13" s="45"/>
      <c r="N13" s="46">
        <v>73420</v>
      </c>
      <c r="O13" s="43"/>
      <c r="P13" s="45"/>
      <c r="Q13" s="46"/>
      <c r="R13" s="43"/>
      <c r="S13" s="55"/>
      <c r="T13" s="55"/>
      <c r="U13" s="46"/>
    </row>
    <row r="14" spans="1:21" s="37" customFormat="1" ht="25.5" x14ac:dyDescent="0.2">
      <c r="A14" s="39" t="s">
        <v>42</v>
      </c>
      <c r="B14" s="43"/>
      <c r="C14" s="43"/>
      <c r="D14" s="43"/>
      <c r="E14" s="43">
        <v>46106.89</v>
      </c>
      <c r="F14" s="43"/>
      <c r="G14" s="44"/>
      <c r="H14" s="45"/>
      <c r="I14" s="58"/>
      <c r="J14" s="46"/>
      <c r="K14" s="43"/>
      <c r="L14" s="45"/>
      <c r="M14" s="45"/>
      <c r="N14" s="46"/>
      <c r="O14" s="43"/>
      <c r="P14" s="45"/>
      <c r="Q14" s="46"/>
      <c r="R14" s="43"/>
      <c r="S14" s="55"/>
      <c r="T14" s="55"/>
      <c r="U14" s="46"/>
    </row>
    <row r="15" spans="1:21" s="37" customFormat="1" x14ac:dyDescent="0.2">
      <c r="A15" s="39" t="s">
        <v>44</v>
      </c>
      <c r="B15" s="43"/>
      <c r="C15" s="43"/>
      <c r="D15" s="43"/>
      <c r="E15" s="43"/>
      <c r="F15" s="43"/>
      <c r="G15" s="44"/>
      <c r="H15" s="45"/>
      <c r="I15" s="58">
        <v>39283</v>
      </c>
      <c r="J15" s="46">
        <v>39283</v>
      </c>
      <c r="K15" s="43"/>
      <c r="L15" s="45"/>
      <c r="M15" s="45"/>
      <c r="N15" s="46"/>
      <c r="O15" s="43"/>
      <c r="P15" s="45"/>
      <c r="Q15" s="46"/>
      <c r="R15" s="43"/>
      <c r="S15" s="55"/>
      <c r="T15" s="55"/>
      <c r="U15" s="46"/>
    </row>
    <row r="16" spans="1:21" s="37" customFormat="1" x14ac:dyDescent="0.2">
      <c r="A16" s="39" t="s">
        <v>45</v>
      </c>
      <c r="B16" s="43"/>
      <c r="C16" s="43"/>
      <c r="D16" s="43">
        <v>27498.560000000001</v>
      </c>
      <c r="E16" s="43"/>
      <c r="F16" s="43"/>
      <c r="G16" s="44"/>
      <c r="H16" s="45"/>
      <c r="I16" s="58">
        <v>1265.94</v>
      </c>
      <c r="J16" s="46">
        <v>28764.5</v>
      </c>
      <c r="K16" s="43"/>
      <c r="L16" s="45"/>
      <c r="M16" s="45"/>
      <c r="N16" s="46"/>
      <c r="O16" s="43"/>
      <c r="P16" s="45"/>
      <c r="Q16" s="46"/>
      <c r="R16" s="43"/>
      <c r="S16" s="55"/>
      <c r="T16" s="55"/>
      <c r="U16" s="46"/>
    </row>
    <row r="17" spans="1:21" s="37" customFormat="1" ht="25.5" x14ac:dyDescent="0.2">
      <c r="A17" s="39" t="s">
        <v>46</v>
      </c>
      <c r="B17" s="43"/>
      <c r="C17" s="43"/>
      <c r="D17" s="43"/>
      <c r="E17" s="43"/>
      <c r="F17" s="43"/>
      <c r="G17" s="44"/>
      <c r="H17" s="45"/>
      <c r="I17" s="58"/>
      <c r="J17" s="46"/>
      <c r="K17" s="43"/>
      <c r="L17" s="45"/>
      <c r="M17" s="45"/>
      <c r="N17" s="46"/>
      <c r="O17" s="43"/>
      <c r="P17" s="45">
        <v>63270</v>
      </c>
      <c r="Q17" s="46">
        <v>63270</v>
      </c>
      <c r="R17" s="43"/>
      <c r="S17" s="55"/>
      <c r="T17" s="55"/>
      <c r="U17" s="46"/>
    </row>
    <row r="18" spans="1:21" s="37" customFormat="1" x14ac:dyDescent="0.2">
      <c r="A18" s="39" t="s">
        <v>47</v>
      </c>
      <c r="B18" s="43"/>
      <c r="C18" s="43"/>
      <c r="D18" s="43"/>
      <c r="E18" s="43"/>
      <c r="F18" s="43"/>
      <c r="G18" s="44"/>
      <c r="H18" s="45"/>
      <c r="I18" s="58">
        <v>60100</v>
      </c>
      <c r="J18" s="46"/>
      <c r="K18" s="43"/>
      <c r="L18" s="45"/>
      <c r="M18" s="45">
        <v>35178</v>
      </c>
      <c r="N18" s="46"/>
      <c r="O18" s="43"/>
      <c r="P18" s="45"/>
      <c r="Q18" s="46">
        <v>95278</v>
      </c>
      <c r="R18" s="43"/>
      <c r="S18" s="55"/>
      <c r="T18" s="55"/>
      <c r="U18" s="46"/>
    </row>
    <row r="19" spans="1:21" s="37" customFormat="1" x14ac:dyDescent="0.2">
      <c r="A19" s="39" t="s">
        <v>48</v>
      </c>
      <c r="B19" s="43"/>
      <c r="C19" s="43"/>
      <c r="D19" s="43"/>
      <c r="E19" s="43"/>
      <c r="F19" s="43"/>
      <c r="G19" s="44"/>
      <c r="H19" s="45"/>
      <c r="I19" s="58"/>
      <c r="J19" s="46"/>
      <c r="K19" s="43"/>
      <c r="L19" s="45"/>
      <c r="M19" s="45">
        <v>34440</v>
      </c>
      <c r="N19" s="46">
        <v>34440</v>
      </c>
      <c r="O19" s="43"/>
      <c r="P19" s="45"/>
      <c r="Q19" s="46"/>
      <c r="R19" s="43"/>
      <c r="S19" s="55"/>
      <c r="T19" s="55"/>
      <c r="U19" s="46"/>
    </row>
    <row r="20" spans="1:21" s="37" customFormat="1" ht="25.5" x14ac:dyDescent="0.2">
      <c r="A20" s="39" t="s">
        <v>49</v>
      </c>
      <c r="B20" s="43"/>
      <c r="C20" s="43"/>
      <c r="D20" s="43"/>
      <c r="E20" s="43"/>
      <c r="F20" s="43"/>
      <c r="G20" s="44"/>
      <c r="H20" s="45"/>
      <c r="I20" s="58"/>
      <c r="J20" s="46"/>
      <c r="K20" s="43"/>
      <c r="L20" s="45"/>
      <c r="M20" s="45"/>
      <c r="N20" s="46"/>
      <c r="O20" s="43"/>
      <c r="P20" s="45">
        <v>45465</v>
      </c>
      <c r="Q20" s="46">
        <v>45465</v>
      </c>
      <c r="R20" s="43"/>
      <c r="S20" s="55"/>
      <c r="T20" s="55"/>
      <c r="U20" s="46"/>
    </row>
    <row r="21" spans="1:21" s="37" customFormat="1" ht="38.25" x14ac:dyDescent="0.2">
      <c r="A21" s="39" t="s">
        <v>50</v>
      </c>
      <c r="B21" s="43"/>
      <c r="C21" s="43"/>
      <c r="D21" s="43"/>
      <c r="E21" s="43"/>
      <c r="F21" s="43"/>
      <c r="G21" s="44"/>
      <c r="H21" s="45"/>
      <c r="I21" s="58"/>
      <c r="J21" s="46"/>
      <c r="K21" s="43"/>
      <c r="L21" s="45"/>
      <c r="M21" s="45"/>
      <c r="N21" s="46"/>
      <c r="O21" s="43"/>
      <c r="P21" s="45">
        <v>121800</v>
      </c>
      <c r="Q21" s="46">
        <v>121800</v>
      </c>
      <c r="R21" s="43"/>
      <c r="S21" s="55"/>
      <c r="T21" s="55"/>
      <c r="U21" s="46"/>
    </row>
    <row r="22" spans="1:21" s="37" customFormat="1" ht="25.5" x14ac:dyDescent="0.2">
      <c r="A22" s="39" t="s">
        <v>51</v>
      </c>
      <c r="B22" s="43"/>
      <c r="C22" s="43"/>
      <c r="D22" s="43"/>
      <c r="E22" s="43"/>
      <c r="F22" s="43"/>
      <c r="G22" s="44"/>
      <c r="H22" s="45"/>
      <c r="I22" s="58"/>
      <c r="J22" s="46"/>
      <c r="K22" s="43"/>
      <c r="L22" s="45"/>
      <c r="M22" s="45"/>
      <c r="N22" s="46"/>
      <c r="O22" s="43"/>
      <c r="P22" s="45">
        <v>45163</v>
      </c>
      <c r="Q22" s="46">
        <v>45163</v>
      </c>
      <c r="R22" s="43"/>
      <c r="S22" s="55"/>
      <c r="T22" s="55"/>
      <c r="U22" s="46"/>
    </row>
    <row r="23" spans="1:21" s="37" customFormat="1" ht="25.5" x14ac:dyDescent="0.2">
      <c r="A23" s="39" t="s">
        <v>52</v>
      </c>
      <c r="B23" s="43"/>
      <c r="C23" s="43"/>
      <c r="D23" s="43"/>
      <c r="E23" s="43"/>
      <c r="F23" s="43"/>
      <c r="G23" s="44"/>
      <c r="H23" s="45"/>
      <c r="I23" s="58">
        <v>0</v>
      </c>
      <c r="J23" s="46"/>
      <c r="K23" s="43"/>
      <c r="L23" s="45"/>
      <c r="M23" s="45"/>
      <c r="N23" s="46"/>
      <c r="O23" s="43"/>
      <c r="P23" s="45">
        <v>14720</v>
      </c>
      <c r="Q23" s="46">
        <v>14720</v>
      </c>
      <c r="R23" s="43"/>
      <c r="S23" s="55"/>
      <c r="T23" s="55"/>
      <c r="U23" s="46"/>
    </row>
    <row r="24" spans="1:21" s="37" customFormat="1" ht="25.5" x14ac:dyDescent="0.2">
      <c r="A24" s="39" t="s">
        <v>53</v>
      </c>
      <c r="B24" s="43"/>
      <c r="C24" s="43"/>
      <c r="D24" s="43"/>
      <c r="E24" s="43"/>
      <c r="F24" s="43"/>
      <c r="G24" s="44"/>
      <c r="H24" s="45"/>
      <c r="I24" s="58"/>
      <c r="J24" s="46"/>
      <c r="K24" s="43"/>
      <c r="L24" s="45"/>
      <c r="M24" s="45"/>
      <c r="N24" s="46"/>
      <c r="O24" s="43"/>
      <c r="P24" s="45">
        <v>13293</v>
      </c>
      <c r="Q24" s="46">
        <v>13293</v>
      </c>
      <c r="R24" s="43"/>
      <c r="S24" s="55"/>
      <c r="T24" s="55"/>
      <c r="U24" s="46"/>
    </row>
    <row r="25" spans="1:21" s="37" customFormat="1" ht="25.5" x14ac:dyDescent="0.2">
      <c r="A25" s="39" t="s">
        <v>54</v>
      </c>
      <c r="B25" s="43"/>
      <c r="C25" s="43"/>
      <c r="D25" s="43"/>
      <c r="E25" s="43"/>
      <c r="F25" s="43"/>
      <c r="G25" s="44"/>
      <c r="H25" s="45"/>
      <c r="I25" s="58"/>
      <c r="J25" s="46"/>
      <c r="K25" s="43"/>
      <c r="L25" s="45"/>
      <c r="M25" s="45">
        <v>87137</v>
      </c>
      <c r="N25" s="46"/>
      <c r="O25" s="43"/>
      <c r="P25" s="45">
        <v>18000</v>
      </c>
      <c r="Q25" s="46">
        <v>105137</v>
      </c>
      <c r="R25" s="43"/>
      <c r="S25" s="55"/>
      <c r="T25" s="55"/>
      <c r="U25" s="46"/>
    </row>
    <row r="26" spans="1:21" s="37" customFormat="1" ht="25.5" x14ac:dyDescent="0.2">
      <c r="A26" s="39" t="s">
        <v>55</v>
      </c>
      <c r="B26" s="43"/>
      <c r="C26" s="43"/>
      <c r="D26" s="43"/>
      <c r="E26" s="43"/>
      <c r="F26" s="43"/>
      <c r="G26" s="44"/>
      <c r="H26" s="45"/>
      <c r="I26" s="58">
        <v>59400</v>
      </c>
      <c r="J26" s="46"/>
      <c r="K26" s="43"/>
      <c r="L26" s="45"/>
      <c r="M26" s="45">
        <v>52590</v>
      </c>
      <c r="N26" s="46"/>
      <c r="O26" s="43"/>
      <c r="P26" s="45"/>
      <c r="Q26" s="46">
        <v>111990</v>
      </c>
      <c r="R26" s="43"/>
      <c r="S26" s="55"/>
      <c r="T26" s="55"/>
      <c r="U26" s="46"/>
    </row>
    <row r="27" spans="1:21" s="37" customFormat="1" ht="25.5" x14ac:dyDescent="0.2">
      <c r="A27" s="39" t="s">
        <v>56</v>
      </c>
      <c r="B27" s="43"/>
      <c r="C27" s="43"/>
      <c r="D27" s="43"/>
      <c r="E27" s="43"/>
      <c r="F27" s="43"/>
      <c r="G27" s="44"/>
      <c r="H27" s="45"/>
      <c r="I27" s="58"/>
      <c r="J27" s="46"/>
      <c r="K27" s="43"/>
      <c r="L27" s="45"/>
      <c r="M27" s="45"/>
      <c r="N27" s="46"/>
      <c r="O27" s="43"/>
      <c r="P27" s="45">
        <v>25800</v>
      </c>
      <c r="Q27" s="46">
        <v>25800</v>
      </c>
      <c r="R27" s="43"/>
      <c r="S27" s="55"/>
      <c r="T27" s="55"/>
      <c r="U27" s="46"/>
    </row>
    <row r="28" spans="1:21" s="37" customFormat="1" x14ac:dyDescent="0.2">
      <c r="A28" s="39" t="s">
        <v>57</v>
      </c>
      <c r="B28" s="43"/>
      <c r="C28" s="43"/>
      <c r="D28" s="43"/>
      <c r="E28" s="43"/>
      <c r="F28" s="43"/>
      <c r="G28" s="44"/>
      <c r="H28" s="45"/>
      <c r="I28" s="58">
        <v>23100</v>
      </c>
      <c r="J28" s="46"/>
      <c r="K28" s="43"/>
      <c r="L28" s="45"/>
      <c r="M28" s="45">
        <v>71981</v>
      </c>
      <c r="N28" s="46"/>
      <c r="O28" s="43"/>
      <c r="P28" s="45">
        <v>4500</v>
      </c>
      <c r="Q28" s="46">
        <v>99581</v>
      </c>
      <c r="R28" s="43"/>
      <c r="S28" s="55"/>
      <c r="T28" s="55"/>
      <c r="U28" s="46"/>
    </row>
    <row r="29" spans="1:21" s="37" customFormat="1" x14ac:dyDescent="0.2">
      <c r="A29" s="39" t="s">
        <v>58</v>
      </c>
      <c r="B29" s="43"/>
      <c r="C29" s="43"/>
      <c r="D29" s="43"/>
      <c r="E29" s="43"/>
      <c r="F29" s="43"/>
      <c r="G29" s="44"/>
      <c r="H29" s="45"/>
      <c r="I29" s="58">
        <v>3930</v>
      </c>
      <c r="J29" s="46">
        <v>3930</v>
      </c>
      <c r="K29" s="43"/>
      <c r="L29" s="45"/>
      <c r="M29" s="45"/>
      <c r="N29" s="46"/>
      <c r="O29" s="43"/>
      <c r="P29" s="45"/>
      <c r="Q29" s="46"/>
      <c r="R29" s="43"/>
      <c r="S29" s="55"/>
      <c r="T29" s="55"/>
      <c r="U29" s="46"/>
    </row>
    <row r="30" spans="1:21" s="37" customFormat="1" x14ac:dyDescent="0.2">
      <c r="A30" s="39" t="s">
        <v>59</v>
      </c>
      <c r="B30" s="43"/>
      <c r="C30" s="43"/>
      <c r="D30" s="43"/>
      <c r="E30" s="43"/>
      <c r="F30" s="43"/>
      <c r="G30" s="44"/>
      <c r="H30" s="45"/>
      <c r="I30" s="58">
        <v>3273</v>
      </c>
      <c r="J30" s="46">
        <v>3273</v>
      </c>
      <c r="K30" s="43"/>
      <c r="L30" s="45"/>
      <c r="M30" s="45"/>
      <c r="N30" s="46"/>
      <c r="O30" s="43"/>
      <c r="P30" s="45"/>
      <c r="Q30" s="46"/>
      <c r="R30" s="43"/>
      <c r="S30" s="55"/>
      <c r="T30" s="55"/>
      <c r="U30" s="46"/>
    </row>
    <row r="31" spans="1:21" s="37" customFormat="1" x14ac:dyDescent="0.2">
      <c r="A31" s="39" t="s">
        <v>60</v>
      </c>
      <c r="B31" s="43"/>
      <c r="C31" s="43"/>
      <c r="D31" s="43"/>
      <c r="E31" s="43"/>
      <c r="F31" s="43"/>
      <c r="G31" s="44"/>
      <c r="H31" s="45"/>
      <c r="I31" s="58">
        <v>1667</v>
      </c>
      <c r="J31" s="46">
        <v>1667</v>
      </c>
      <c r="K31" s="43"/>
      <c r="L31" s="45"/>
      <c r="M31" s="45"/>
      <c r="N31" s="46"/>
      <c r="O31" s="43"/>
      <c r="P31" s="45"/>
      <c r="Q31" s="46"/>
      <c r="R31" s="43"/>
      <c r="S31" s="55"/>
      <c r="T31" s="55"/>
      <c r="U31" s="46"/>
    </row>
    <row r="32" spans="1:21" ht="25.5" x14ac:dyDescent="0.2">
      <c r="A32" s="16" t="s">
        <v>26</v>
      </c>
      <c r="B32" s="23"/>
      <c r="C32" s="23"/>
      <c r="D32" s="23"/>
      <c r="E32" s="23"/>
      <c r="F32" s="23"/>
      <c r="G32" s="6"/>
      <c r="H32" s="6">
        <v>1800</v>
      </c>
      <c r="I32" s="59"/>
      <c r="J32" s="24"/>
      <c r="K32" s="31"/>
      <c r="L32" s="7">
        <v>130000</v>
      </c>
      <c r="M32" s="7"/>
      <c r="N32" s="32"/>
      <c r="O32" s="23"/>
      <c r="P32" s="7"/>
      <c r="Q32" s="24"/>
      <c r="R32" s="23"/>
      <c r="S32" s="56"/>
      <c r="T32" s="56"/>
      <c r="U32" s="24"/>
    </row>
    <row r="33" spans="1:21" ht="38.25" x14ac:dyDescent="0.2">
      <c r="A33" s="16" t="s">
        <v>25</v>
      </c>
      <c r="B33" s="23"/>
      <c r="C33" s="23"/>
      <c r="D33" s="23"/>
      <c r="E33" s="23"/>
      <c r="F33" s="23"/>
      <c r="G33" s="6"/>
      <c r="H33" s="6">
        <v>50000</v>
      </c>
      <c r="I33" s="59"/>
      <c r="J33" s="24"/>
      <c r="K33" s="31"/>
      <c r="L33" s="7">
        <v>76000</v>
      </c>
      <c r="M33" s="7"/>
      <c r="N33" s="32"/>
      <c r="O33" s="23"/>
      <c r="P33" s="7"/>
      <c r="Q33" s="24"/>
      <c r="R33" s="23"/>
      <c r="S33" s="56"/>
      <c r="T33" s="56"/>
      <c r="U33" s="24"/>
    </row>
    <row r="34" spans="1:21" s="8" customFormat="1" x14ac:dyDescent="0.2">
      <c r="A34" s="17" t="s">
        <v>31</v>
      </c>
      <c r="B34" s="25">
        <f t="shared" ref="B34:R34" si="0">SUM(B3:B33)</f>
        <v>0</v>
      </c>
      <c r="C34" s="25">
        <f t="shared" si="0"/>
        <v>0</v>
      </c>
      <c r="D34" s="25">
        <f t="shared" si="0"/>
        <v>143427.81</v>
      </c>
      <c r="E34" s="25">
        <f t="shared" si="0"/>
        <v>206844.18</v>
      </c>
      <c r="F34" s="25">
        <f t="shared" si="0"/>
        <v>0</v>
      </c>
      <c r="G34" s="1">
        <f t="shared" si="0"/>
        <v>0</v>
      </c>
      <c r="H34" s="1">
        <f t="shared" si="0"/>
        <v>51800</v>
      </c>
      <c r="I34" s="60">
        <f t="shared" si="0"/>
        <v>430968.47000000003</v>
      </c>
      <c r="J34" s="63">
        <f t="shared" si="0"/>
        <v>343120.83999999997</v>
      </c>
      <c r="K34" s="25">
        <f t="shared" si="0"/>
        <v>0</v>
      </c>
      <c r="L34" s="1">
        <f t="shared" si="0"/>
        <v>206000</v>
      </c>
      <c r="M34" s="1">
        <f t="shared" si="0"/>
        <v>334941</v>
      </c>
      <c r="N34" s="26">
        <f t="shared" si="0"/>
        <v>242610</v>
      </c>
      <c r="O34" s="25">
        <f t="shared" si="0"/>
        <v>0</v>
      </c>
      <c r="P34" s="25">
        <f t="shared" si="0"/>
        <v>477011</v>
      </c>
      <c r="Q34" s="26">
        <f t="shared" si="0"/>
        <v>782497</v>
      </c>
      <c r="R34" s="25">
        <f t="shared" si="0"/>
        <v>0</v>
      </c>
      <c r="S34" s="25"/>
      <c r="T34" s="25">
        <f>SUM(T3:T33)</f>
        <v>0</v>
      </c>
      <c r="U34" s="26">
        <f>SUM(U3:U33)</f>
        <v>125615</v>
      </c>
    </row>
    <row r="35" spans="1:21" s="37" customFormat="1" ht="25.5" x14ac:dyDescent="0.2">
      <c r="A35" s="38" t="s">
        <v>101</v>
      </c>
      <c r="B35" s="43"/>
      <c r="C35" s="43"/>
      <c r="D35" s="43">
        <v>9288.98</v>
      </c>
      <c r="E35" s="43">
        <v>0</v>
      </c>
      <c r="F35" s="43"/>
      <c r="G35" s="44"/>
      <c r="H35" s="45"/>
      <c r="I35" s="58">
        <v>247.28</v>
      </c>
      <c r="J35" s="46">
        <f>8965+525.67</f>
        <v>9490.67</v>
      </c>
      <c r="K35" s="43"/>
      <c r="L35" s="45"/>
      <c r="M35" s="45"/>
      <c r="N35" s="46"/>
      <c r="O35" s="43"/>
      <c r="P35" s="55"/>
      <c r="Q35" s="46"/>
      <c r="R35" s="43"/>
      <c r="S35" s="55"/>
      <c r="T35" s="55"/>
      <c r="U35" s="46"/>
    </row>
    <row r="36" spans="1:21" s="37" customFormat="1" x14ac:dyDescent="0.2">
      <c r="A36" s="39" t="s">
        <v>61</v>
      </c>
      <c r="B36" s="43"/>
      <c r="C36" s="43"/>
      <c r="D36" s="43">
        <v>3466.25</v>
      </c>
      <c r="E36" s="43"/>
      <c r="F36" s="43"/>
      <c r="G36" s="44"/>
      <c r="H36" s="45"/>
      <c r="I36" s="58">
        <f>6095+56.28</f>
        <v>6151.28</v>
      </c>
      <c r="J36" s="46">
        <v>19892.689999999999</v>
      </c>
      <c r="K36" s="43"/>
      <c r="L36" s="45"/>
      <c r="M36" s="45"/>
      <c r="N36" s="46"/>
      <c r="O36" s="43"/>
      <c r="P36" s="55"/>
      <c r="Q36" s="46"/>
      <c r="R36" s="43"/>
      <c r="S36" s="55"/>
      <c r="T36" s="55"/>
      <c r="U36" s="46"/>
    </row>
    <row r="37" spans="1:21" s="37" customFormat="1" x14ac:dyDescent="0.2">
      <c r="A37" s="39" t="s">
        <v>62</v>
      </c>
      <c r="B37" s="43"/>
      <c r="C37" s="43"/>
      <c r="D37" s="43">
        <v>8810.76</v>
      </c>
      <c r="E37" s="43">
        <v>289.41000000000003</v>
      </c>
      <c r="F37" s="43"/>
      <c r="G37" s="44"/>
      <c r="H37" s="45"/>
      <c r="I37" s="58"/>
      <c r="J37" s="46">
        <v>23274.15</v>
      </c>
      <c r="K37" s="43"/>
      <c r="L37" s="45"/>
      <c r="M37" s="45"/>
      <c r="N37" s="46"/>
      <c r="O37" s="43"/>
      <c r="P37" s="55"/>
      <c r="Q37" s="46"/>
      <c r="R37" s="43"/>
      <c r="S37" s="55"/>
      <c r="T37" s="55"/>
      <c r="U37" s="46"/>
    </row>
    <row r="38" spans="1:21" s="37" customFormat="1" x14ac:dyDescent="0.2">
      <c r="A38" s="39" t="s">
        <v>63</v>
      </c>
      <c r="B38" s="43"/>
      <c r="C38" s="43"/>
      <c r="D38" s="43"/>
      <c r="E38" s="43">
        <v>21763.89</v>
      </c>
      <c r="F38" s="43"/>
      <c r="G38" s="44"/>
      <c r="H38" s="45"/>
      <c r="I38" s="58"/>
      <c r="J38" s="46"/>
      <c r="K38" s="43"/>
      <c r="L38" s="45"/>
      <c r="M38" s="45"/>
      <c r="N38" s="46"/>
      <c r="O38" s="43"/>
      <c r="P38" s="55"/>
      <c r="Q38" s="46"/>
      <c r="R38" s="43"/>
      <c r="S38" s="55"/>
      <c r="T38" s="55"/>
      <c r="U38" s="46"/>
    </row>
    <row r="39" spans="1:21" s="37" customFormat="1" ht="25.5" x14ac:dyDescent="0.2">
      <c r="A39" s="39" t="s">
        <v>64</v>
      </c>
      <c r="B39" s="43"/>
      <c r="C39" s="43"/>
      <c r="D39" s="43">
        <v>22429.23</v>
      </c>
      <c r="E39" s="43">
        <v>76086.210000000006</v>
      </c>
      <c r="F39" s="43"/>
      <c r="G39" s="44"/>
      <c r="H39" s="45"/>
      <c r="I39" s="58"/>
      <c r="J39" s="46"/>
      <c r="K39" s="43"/>
      <c r="L39" s="45"/>
      <c r="M39" s="45"/>
      <c r="N39" s="46"/>
      <c r="O39" s="43"/>
      <c r="P39" s="55"/>
      <c r="Q39" s="46"/>
      <c r="R39" s="43"/>
      <c r="S39" s="55"/>
      <c r="T39" s="55"/>
      <c r="U39" s="46"/>
    </row>
    <row r="40" spans="1:21" s="37" customFormat="1" x14ac:dyDescent="0.2">
      <c r="A40" s="39" t="s">
        <v>65</v>
      </c>
      <c r="B40" s="43"/>
      <c r="C40" s="43"/>
      <c r="D40" s="43">
        <v>64478.93</v>
      </c>
      <c r="E40" s="43"/>
      <c r="F40" s="43"/>
      <c r="G40" s="44"/>
      <c r="H40" s="45"/>
      <c r="I40" s="58">
        <f>15683+2177.01</f>
        <v>17860.010000000002</v>
      </c>
      <c r="J40" s="46">
        <v>100144.03</v>
      </c>
      <c r="K40" s="43"/>
      <c r="L40" s="45"/>
      <c r="M40" s="45"/>
      <c r="N40" s="46"/>
      <c r="O40" s="43"/>
      <c r="P40" s="55"/>
      <c r="Q40" s="46"/>
      <c r="R40" s="43"/>
      <c r="S40" s="55"/>
      <c r="T40" s="55"/>
      <c r="U40" s="46"/>
    </row>
    <row r="41" spans="1:21" s="37" customFormat="1" x14ac:dyDescent="0.2">
      <c r="A41" s="39" t="s">
        <v>66</v>
      </c>
      <c r="B41" s="43"/>
      <c r="C41" s="43"/>
      <c r="D41" s="43"/>
      <c r="E41" s="43"/>
      <c r="F41" s="43"/>
      <c r="G41" s="44"/>
      <c r="H41" s="45"/>
      <c r="I41" s="58"/>
      <c r="J41" s="46"/>
      <c r="K41" s="43"/>
      <c r="L41" s="45"/>
      <c r="M41" s="45"/>
      <c r="N41" s="46"/>
      <c r="O41" s="43"/>
      <c r="P41" s="55"/>
      <c r="Q41" s="46"/>
      <c r="R41" s="43"/>
      <c r="S41" s="55"/>
      <c r="T41" s="55"/>
      <c r="U41" s="46"/>
    </row>
    <row r="42" spans="1:21" s="37" customFormat="1" x14ac:dyDescent="0.2">
      <c r="A42" s="39" t="s">
        <v>67</v>
      </c>
      <c r="B42" s="43"/>
      <c r="C42" s="43"/>
      <c r="D42" s="43"/>
      <c r="E42" s="43"/>
      <c r="F42" s="43"/>
      <c r="G42" s="44"/>
      <c r="H42" s="45"/>
      <c r="I42" s="58"/>
      <c r="J42" s="46"/>
      <c r="K42" s="43"/>
      <c r="L42" s="45"/>
      <c r="M42" s="45">
        <v>16540</v>
      </c>
      <c r="N42" s="46">
        <v>16540</v>
      </c>
      <c r="O42" s="43"/>
      <c r="P42" s="55"/>
      <c r="Q42" s="46"/>
      <c r="R42" s="43"/>
      <c r="S42" s="55"/>
      <c r="T42" s="55"/>
      <c r="U42" s="46"/>
    </row>
    <row r="43" spans="1:21" s="37" customFormat="1" ht="25.5" x14ac:dyDescent="0.2">
      <c r="A43" s="39" t="s">
        <v>68</v>
      </c>
      <c r="B43" s="43"/>
      <c r="C43" s="43"/>
      <c r="D43" s="43">
        <v>1576.58</v>
      </c>
      <c r="E43" s="43"/>
      <c r="F43" s="43"/>
      <c r="G43" s="44"/>
      <c r="H43" s="45"/>
      <c r="I43" s="58">
        <f>23400+1894.3</f>
        <v>25294.3</v>
      </c>
      <c r="J43" s="46"/>
      <c r="K43" s="43"/>
      <c r="L43" s="45"/>
      <c r="M43" s="45">
        <v>9848.58</v>
      </c>
      <c r="N43" s="46">
        <v>36719.47</v>
      </c>
      <c r="O43" s="43"/>
      <c r="P43" s="55"/>
      <c r="Q43" s="46"/>
      <c r="R43" s="43"/>
      <c r="S43" s="55"/>
      <c r="T43" s="55"/>
      <c r="U43" s="46"/>
    </row>
    <row r="44" spans="1:21" x14ac:dyDescent="0.2">
      <c r="A44" s="16" t="s">
        <v>5</v>
      </c>
      <c r="B44" s="27"/>
      <c r="C44" s="27"/>
      <c r="D44" s="27"/>
      <c r="E44" s="27"/>
      <c r="F44" s="27">
        <v>37193.040000000001</v>
      </c>
      <c r="G44" s="11"/>
      <c r="H44" s="11">
        <v>17174</v>
      </c>
      <c r="I44" s="61"/>
      <c r="J44" s="28"/>
      <c r="K44" s="47"/>
      <c r="L44" s="12">
        <v>50000</v>
      </c>
      <c r="M44" s="12"/>
      <c r="N44" s="33"/>
      <c r="O44" s="36">
        <v>50000</v>
      </c>
      <c r="P44" s="65"/>
      <c r="Q44" s="33"/>
      <c r="R44" s="43">
        <v>382334</v>
      </c>
      <c r="S44" s="55"/>
      <c r="T44" s="55"/>
      <c r="U44" s="46"/>
    </row>
    <row r="45" spans="1:21" x14ac:dyDescent="0.2">
      <c r="A45" s="16" t="s">
        <v>2</v>
      </c>
      <c r="B45" s="23"/>
      <c r="C45" s="23"/>
      <c r="D45" s="23"/>
      <c r="E45" s="23"/>
      <c r="F45" s="23">
        <v>71.91</v>
      </c>
      <c r="G45" s="6"/>
      <c r="H45" s="6">
        <v>2760</v>
      </c>
      <c r="I45" s="59"/>
      <c r="J45" s="24"/>
      <c r="K45" s="47"/>
      <c r="L45" s="9">
        <v>9940</v>
      </c>
      <c r="M45" s="9"/>
      <c r="N45" s="34"/>
      <c r="O45" s="23">
        <v>60448</v>
      </c>
      <c r="P45" s="56"/>
      <c r="Q45" s="24"/>
      <c r="R45" s="23">
        <v>220000</v>
      </c>
      <c r="S45" s="56"/>
      <c r="T45" s="56"/>
      <c r="U45" s="24"/>
    </row>
    <row r="46" spans="1:21" x14ac:dyDescent="0.2">
      <c r="A46" s="16" t="s">
        <v>3</v>
      </c>
      <c r="B46" s="23"/>
      <c r="C46" s="23"/>
      <c r="D46" s="23"/>
      <c r="E46" s="23"/>
      <c r="F46" s="23"/>
      <c r="G46" s="6"/>
      <c r="H46" s="6">
        <v>35215</v>
      </c>
      <c r="I46" s="59"/>
      <c r="J46" s="24"/>
      <c r="K46" s="47"/>
      <c r="L46" s="7"/>
      <c r="M46" s="7"/>
      <c r="N46" s="32"/>
      <c r="O46" s="23"/>
      <c r="P46" s="56"/>
      <c r="Q46" s="24"/>
      <c r="R46" s="23"/>
      <c r="S46" s="56"/>
      <c r="T46" s="56"/>
      <c r="U46" s="24"/>
    </row>
    <row r="47" spans="1:21" x14ac:dyDescent="0.2">
      <c r="A47" s="16" t="s">
        <v>1</v>
      </c>
      <c r="B47" s="23"/>
      <c r="C47" s="23"/>
      <c r="D47" s="23"/>
      <c r="E47" s="23"/>
      <c r="F47" s="23"/>
      <c r="G47" s="6"/>
      <c r="H47" s="6"/>
      <c r="I47" s="59"/>
      <c r="J47" s="24"/>
      <c r="K47" s="35"/>
      <c r="L47" s="7"/>
      <c r="M47" s="7"/>
      <c r="N47" s="32"/>
      <c r="O47" s="23">
        <v>30000</v>
      </c>
      <c r="P47" s="56"/>
      <c r="Q47" s="24"/>
      <c r="R47" s="23">
        <v>65000</v>
      </c>
      <c r="S47" s="56"/>
      <c r="T47" s="56"/>
      <c r="U47" s="24"/>
    </row>
    <row r="48" spans="1:21" x14ac:dyDescent="0.2">
      <c r="A48" s="16" t="s">
        <v>4</v>
      </c>
      <c r="B48" s="23"/>
      <c r="C48" s="23"/>
      <c r="D48" s="23"/>
      <c r="E48" s="23"/>
      <c r="F48" s="23"/>
      <c r="G48" s="6"/>
      <c r="H48" s="6">
        <v>45000</v>
      </c>
      <c r="I48" s="59"/>
      <c r="J48" s="24"/>
      <c r="K48" s="47"/>
      <c r="L48" s="7">
        <v>50000</v>
      </c>
      <c r="M48" s="7"/>
      <c r="N48" s="32"/>
      <c r="O48" s="23"/>
      <c r="P48" s="56"/>
      <c r="Q48" s="24"/>
      <c r="R48" s="23"/>
      <c r="S48" s="56"/>
      <c r="T48" s="56"/>
      <c r="U48" s="24"/>
    </row>
    <row r="49" spans="1:21" s="8" customFormat="1" x14ac:dyDescent="0.2">
      <c r="A49" s="17" t="s">
        <v>27</v>
      </c>
      <c r="B49" s="25">
        <f t="shared" ref="B49:R49" si="1">SUM(B35:B48)</f>
        <v>0</v>
      </c>
      <c r="C49" s="25">
        <f t="shared" si="1"/>
        <v>0</v>
      </c>
      <c r="D49" s="25">
        <f t="shared" si="1"/>
        <v>110050.73</v>
      </c>
      <c r="E49" s="25">
        <f t="shared" si="1"/>
        <v>98139.510000000009</v>
      </c>
      <c r="F49" s="25">
        <f t="shared" si="1"/>
        <v>37264.950000000004</v>
      </c>
      <c r="G49" s="1">
        <f t="shared" si="1"/>
        <v>0</v>
      </c>
      <c r="H49" s="1">
        <f t="shared" si="1"/>
        <v>100149</v>
      </c>
      <c r="I49" s="60">
        <f t="shared" si="1"/>
        <v>49552.869999999995</v>
      </c>
      <c r="J49" s="63">
        <f t="shared" si="1"/>
        <v>152801.54</v>
      </c>
      <c r="K49" s="25">
        <f t="shared" si="1"/>
        <v>0</v>
      </c>
      <c r="L49" s="1">
        <f t="shared" si="1"/>
        <v>109940</v>
      </c>
      <c r="M49" s="1">
        <f t="shared" si="1"/>
        <v>26388.58</v>
      </c>
      <c r="N49" s="26">
        <f t="shared" si="1"/>
        <v>53259.47</v>
      </c>
      <c r="O49" s="25">
        <f t="shared" si="1"/>
        <v>140448</v>
      </c>
      <c r="P49" s="15">
        <f t="shared" si="1"/>
        <v>0</v>
      </c>
      <c r="Q49" s="26">
        <f t="shared" si="1"/>
        <v>0</v>
      </c>
      <c r="R49" s="25">
        <f t="shared" si="1"/>
        <v>667334</v>
      </c>
      <c r="S49" s="15"/>
      <c r="T49" s="15">
        <f>SUM(T35:T48)</f>
        <v>0</v>
      </c>
      <c r="U49" s="26">
        <f>SUM(U35:U48)</f>
        <v>0</v>
      </c>
    </row>
    <row r="50" spans="1:21" s="37" customFormat="1" ht="25.5" x14ac:dyDescent="0.2">
      <c r="A50" s="40" t="s">
        <v>69</v>
      </c>
      <c r="B50" s="43"/>
      <c r="C50" s="43"/>
      <c r="D50" s="43">
        <v>12148.69</v>
      </c>
      <c r="E50" s="43"/>
      <c r="F50" s="43"/>
      <c r="G50" s="44"/>
      <c r="H50" s="45"/>
      <c r="I50" s="58">
        <f>10049+2355.75</f>
        <v>12404.75</v>
      </c>
      <c r="J50" s="46"/>
      <c r="K50" s="43"/>
      <c r="L50" s="45"/>
      <c r="M50" s="45"/>
      <c r="N50" s="46">
        <v>24553.439999999999</v>
      </c>
      <c r="O50" s="43"/>
      <c r="P50" s="55"/>
      <c r="Q50" s="46"/>
      <c r="R50" s="43"/>
      <c r="S50" s="55"/>
      <c r="T50" s="55"/>
      <c r="U50" s="46"/>
    </row>
    <row r="51" spans="1:21" s="37" customFormat="1" x14ac:dyDescent="0.2">
      <c r="A51" s="40" t="s">
        <v>70</v>
      </c>
      <c r="B51" s="43"/>
      <c r="C51" s="43"/>
      <c r="D51" s="43">
        <v>5289.39</v>
      </c>
      <c r="E51" s="43"/>
      <c r="F51" s="43"/>
      <c r="G51" s="44"/>
      <c r="H51" s="45"/>
      <c r="I51" s="58">
        <f>6604+1011.92</f>
        <v>7615.92</v>
      </c>
      <c r="J51" s="46"/>
      <c r="K51" s="43"/>
      <c r="L51" s="45"/>
      <c r="M51" s="45"/>
      <c r="N51" s="46">
        <v>12905.31</v>
      </c>
      <c r="O51" s="43"/>
      <c r="P51" s="55"/>
      <c r="Q51" s="46"/>
      <c r="R51" s="43"/>
      <c r="S51" s="55"/>
      <c r="T51" s="55"/>
      <c r="U51" s="46"/>
    </row>
    <row r="52" spans="1:21" s="37" customFormat="1" ht="25.5" x14ac:dyDescent="0.2">
      <c r="A52" s="40" t="s">
        <v>71</v>
      </c>
      <c r="B52" s="43"/>
      <c r="C52" s="43"/>
      <c r="D52" s="43">
        <v>9693.66</v>
      </c>
      <c r="E52" s="43"/>
      <c r="F52" s="43"/>
      <c r="G52" s="44"/>
      <c r="H52" s="45"/>
      <c r="I52" s="58">
        <f>9172+2111.11</f>
        <v>11283.11</v>
      </c>
      <c r="J52" s="46"/>
      <c r="K52" s="43"/>
      <c r="L52" s="45"/>
      <c r="M52" s="45"/>
      <c r="N52" s="46">
        <v>20976.77</v>
      </c>
      <c r="O52" s="43"/>
      <c r="P52" s="55"/>
      <c r="Q52" s="46"/>
      <c r="R52" s="43"/>
      <c r="S52" s="55"/>
      <c r="T52" s="55"/>
      <c r="U52" s="46"/>
    </row>
    <row r="53" spans="1:21" s="37" customFormat="1" ht="25.5" x14ac:dyDescent="0.2">
      <c r="A53" s="40" t="s">
        <v>72</v>
      </c>
      <c r="B53" s="43"/>
      <c r="C53" s="43"/>
      <c r="D53" s="43"/>
      <c r="E53" s="43"/>
      <c r="F53" s="43"/>
      <c r="G53" s="44"/>
      <c r="H53" s="45"/>
      <c r="I53" s="58">
        <v>17386</v>
      </c>
      <c r="J53" s="46"/>
      <c r="K53" s="43"/>
      <c r="L53" s="45"/>
      <c r="M53" s="45">
        <v>14103</v>
      </c>
      <c r="N53" s="46"/>
      <c r="O53" s="43"/>
      <c r="P53" s="55"/>
      <c r="Q53" s="46">
        <v>31489</v>
      </c>
      <c r="R53" s="43"/>
      <c r="S53" s="55"/>
      <c r="T53" s="55"/>
      <c r="U53" s="46"/>
    </row>
    <row r="54" spans="1:21" s="37" customFormat="1" x14ac:dyDescent="0.2">
      <c r="A54" s="40" t="s">
        <v>73</v>
      </c>
      <c r="B54" s="43"/>
      <c r="C54" s="43"/>
      <c r="D54" s="43"/>
      <c r="E54" s="43"/>
      <c r="F54" s="43"/>
      <c r="G54" s="44"/>
      <c r="H54" s="45">
        <v>74216</v>
      </c>
      <c r="I54" s="58">
        <v>26568</v>
      </c>
      <c r="J54" s="46"/>
      <c r="K54" s="43"/>
      <c r="L54" s="45">
        <v>45300</v>
      </c>
      <c r="M54" s="45">
        <v>20737</v>
      </c>
      <c r="N54" s="46"/>
      <c r="O54" s="43">
        <v>61744</v>
      </c>
      <c r="P54" s="55">
        <v>904</v>
      </c>
      <c r="Q54" s="46">
        <v>48209</v>
      </c>
      <c r="R54" s="43"/>
      <c r="S54" s="55"/>
      <c r="T54" s="55"/>
      <c r="U54" s="46"/>
    </row>
    <row r="55" spans="1:21" s="37" customFormat="1" ht="25.5" x14ac:dyDescent="0.2">
      <c r="A55" s="40" t="s">
        <v>74</v>
      </c>
      <c r="B55" s="43"/>
      <c r="C55" s="43"/>
      <c r="D55" s="43"/>
      <c r="E55" s="43"/>
      <c r="F55" s="43"/>
      <c r="G55" s="44"/>
      <c r="H55" s="45">
        <v>35734</v>
      </c>
      <c r="I55" s="58">
        <v>4016</v>
      </c>
      <c r="J55" s="46"/>
      <c r="K55" s="43"/>
      <c r="L55" s="45">
        <v>25770</v>
      </c>
      <c r="M55" s="45"/>
      <c r="N55" s="46">
        <v>4016</v>
      </c>
      <c r="O55" s="43"/>
      <c r="P55" s="55"/>
      <c r="Q55" s="46"/>
      <c r="R55" s="43"/>
      <c r="S55" s="55"/>
      <c r="T55" s="55"/>
      <c r="U55" s="46"/>
    </row>
    <row r="56" spans="1:21" s="37" customFormat="1" ht="15" x14ac:dyDescent="0.25">
      <c r="A56" s="40" t="s">
        <v>75</v>
      </c>
      <c r="B56" s="43"/>
      <c r="C56" s="43"/>
      <c r="D56" s="43"/>
      <c r="E56" s="43"/>
      <c r="F56" s="43"/>
      <c r="G56" s="44"/>
      <c r="H56" s="45"/>
      <c r="I56" s="58">
        <v>13340</v>
      </c>
      <c r="J56" s="46"/>
      <c r="K56" s="43"/>
      <c r="L56" s="45"/>
      <c r="M56" s="103">
        <v>6767</v>
      </c>
      <c r="N56" s="46"/>
      <c r="O56" s="43"/>
      <c r="P56" s="55"/>
      <c r="Q56" s="46">
        <v>20107</v>
      </c>
      <c r="R56" s="43"/>
      <c r="S56" s="55"/>
      <c r="T56" s="55"/>
      <c r="U56" s="46"/>
    </row>
    <row r="57" spans="1:21" s="37" customFormat="1" x14ac:dyDescent="0.2">
      <c r="A57" s="40" t="s">
        <v>76</v>
      </c>
      <c r="B57" s="43"/>
      <c r="C57" s="43"/>
      <c r="D57" s="43"/>
      <c r="E57" s="43"/>
      <c r="F57" s="43"/>
      <c r="G57" s="44"/>
      <c r="H57" s="45"/>
      <c r="I57" s="58"/>
      <c r="J57" s="46"/>
      <c r="K57" s="43"/>
      <c r="L57" s="45"/>
      <c r="M57" s="9">
        <v>1750</v>
      </c>
      <c r="N57" s="46"/>
      <c r="O57" s="43"/>
      <c r="P57" s="55">
        <v>1750</v>
      </c>
      <c r="Q57" s="46">
        <v>3500</v>
      </c>
      <c r="R57" s="43"/>
      <c r="S57" s="55"/>
      <c r="T57" s="55"/>
      <c r="U57" s="46"/>
    </row>
    <row r="58" spans="1:21" ht="25.5" x14ac:dyDescent="0.2">
      <c r="A58" s="18" t="s">
        <v>23</v>
      </c>
      <c r="B58" s="23"/>
      <c r="C58" s="23"/>
      <c r="D58" s="23"/>
      <c r="E58" s="23"/>
      <c r="F58" s="23">
        <v>38.97</v>
      </c>
      <c r="G58" s="6"/>
      <c r="H58" s="6">
        <f>60500+68500</f>
        <v>129000</v>
      </c>
      <c r="I58" s="59">
        <v>65000</v>
      </c>
      <c r="J58" s="24">
        <v>65000</v>
      </c>
      <c r="K58" s="47"/>
      <c r="L58" s="6">
        <f>181761-15761</f>
        <v>166000</v>
      </c>
      <c r="M58" s="7"/>
      <c r="N58" s="24"/>
      <c r="O58" s="23">
        <v>0</v>
      </c>
      <c r="P58" s="56"/>
      <c r="Q58" s="24"/>
      <c r="R58" s="23"/>
      <c r="S58" s="56"/>
      <c r="T58" s="56"/>
      <c r="U58" s="24"/>
    </row>
    <row r="59" spans="1:21" x14ac:dyDescent="0.2">
      <c r="A59" s="18" t="s">
        <v>151</v>
      </c>
      <c r="B59" s="23"/>
      <c r="C59" s="23"/>
      <c r="D59" s="23"/>
      <c r="E59" s="23"/>
      <c r="F59" s="23"/>
      <c r="G59" s="6"/>
      <c r="H59" s="6">
        <v>10000</v>
      </c>
      <c r="I59" s="59"/>
      <c r="J59" s="24"/>
      <c r="K59" s="47"/>
      <c r="L59" s="6"/>
      <c r="M59" s="62"/>
      <c r="N59" s="24"/>
      <c r="O59" s="23"/>
      <c r="P59" s="56"/>
      <c r="Q59" s="24"/>
      <c r="R59" s="23"/>
      <c r="S59" s="56"/>
      <c r="T59" s="56"/>
      <c r="U59" s="24"/>
    </row>
    <row r="60" spans="1:21" x14ac:dyDescent="0.2">
      <c r="A60" s="18" t="s">
        <v>24</v>
      </c>
      <c r="B60" s="23"/>
      <c r="C60" s="23"/>
      <c r="D60" s="23"/>
      <c r="E60" s="23"/>
      <c r="F60" s="23"/>
      <c r="G60" s="6"/>
      <c r="H60" s="6">
        <v>30452</v>
      </c>
      <c r="I60" s="59"/>
      <c r="J60" s="24"/>
      <c r="K60" s="47"/>
      <c r="L60" s="6">
        <v>62206</v>
      </c>
      <c r="M60" s="58">
        <v>37794</v>
      </c>
      <c r="N60" s="46">
        <v>37794</v>
      </c>
      <c r="O60" s="23">
        <v>25698</v>
      </c>
      <c r="P60" s="56"/>
      <c r="Q60" s="24"/>
      <c r="R60" s="23"/>
      <c r="S60" s="56"/>
      <c r="T60" s="56"/>
      <c r="U60" s="24"/>
    </row>
    <row r="61" spans="1:21" ht="25.5" x14ac:dyDescent="0.2">
      <c r="A61" s="87" t="s">
        <v>160</v>
      </c>
      <c r="B61" s="23"/>
      <c r="C61" s="23"/>
      <c r="D61" s="23"/>
      <c r="E61" s="23"/>
      <c r="F61" s="23"/>
      <c r="G61" s="6"/>
      <c r="H61" s="6">
        <v>7800</v>
      </c>
      <c r="I61" s="59"/>
      <c r="J61" s="24"/>
      <c r="K61" s="47"/>
      <c r="L61" s="6">
        <v>5700</v>
      </c>
      <c r="M61" s="7"/>
      <c r="N61" s="24"/>
      <c r="O61" s="23"/>
      <c r="P61" s="56"/>
      <c r="Q61" s="24"/>
      <c r="R61" s="23"/>
      <c r="S61" s="56"/>
      <c r="T61" s="56"/>
      <c r="U61" s="24"/>
    </row>
    <row r="62" spans="1:21" s="8" customFormat="1" x14ac:dyDescent="0.2">
      <c r="A62" s="17" t="s">
        <v>30</v>
      </c>
      <c r="B62" s="25">
        <f t="shared" ref="B62:U62" si="2">SUM(B50:B61)</f>
        <v>0</v>
      </c>
      <c r="C62" s="25">
        <f t="shared" si="2"/>
        <v>0</v>
      </c>
      <c r="D62" s="25">
        <f t="shared" si="2"/>
        <v>27131.74</v>
      </c>
      <c r="E62" s="25">
        <f t="shared" si="2"/>
        <v>0</v>
      </c>
      <c r="F62" s="25">
        <f t="shared" si="2"/>
        <v>38.97</v>
      </c>
      <c r="G62" s="25">
        <f t="shared" si="2"/>
        <v>0</v>
      </c>
      <c r="H62" s="25">
        <f t="shared" si="2"/>
        <v>287202</v>
      </c>
      <c r="I62" s="25">
        <f t="shared" si="2"/>
        <v>157613.78</v>
      </c>
      <c r="J62" s="25">
        <f t="shared" si="2"/>
        <v>65000</v>
      </c>
      <c r="K62" s="25">
        <f t="shared" si="2"/>
        <v>0</v>
      </c>
      <c r="L62" s="25">
        <f t="shared" si="2"/>
        <v>304976</v>
      </c>
      <c r="M62" s="25">
        <f t="shared" si="2"/>
        <v>81151</v>
      </c>
      <c r="N62" s="25">
        <f t="shared" si="2"/>
        <v>100245.52</v>
      </c>
      <c r="O62" s="25">
        <f t="shared" si="2"/>
        <v>87442</v>
      </c>
      <c r="P62" s="25">
        <f t="shared" si="2"/>
        <v>2654</v>
      </c>
      <c r="Q62" s="25">
        <f t="shared" si="2"/>
        <v>103305</v>
      </c>
      <c r="R62" s="25">
        <f t="shared" si="2"/>
        <v>0</v>
      </c>
      <c r="S62" s="25">
        <f t="shared" si="2"/>
        <v>0</v>
      </c>
      <c r="T62" s="25">
        <f t="shared" si="2"/>
        <v>0</v>
      </c>
      <c r="U62" s="25">
        <f t="shared" si="2"/>
        <v>0</v>
      </c>
    </row>
    <row r="63" spans="1:21" s="37" customFormat="1" x14ac:dyDescent="0.2">
      <c r="A63" s="38" t="s">
        <v>102</v>
      </c>
      <c r="B63" s="43"/>
      <c r="C63" s="43"/>
      <c r="D63" s="43"/>
      <c r="E63" s="43"/>
      <c r="F63" s="43"/>
      <c r="G63" s="44"/>
      <c r="H63" s="45"/>
      <c r="I63" s="58"/>
      <c r="J63" s="46"/>
      <c r="K63" s="43"/>
      <c r="L63" s="45"/>
      <c r="M63" s="58">
        <v>6000</v>
      </c>
      <c r="N63" s="46"/>
      <c r="O63" s="43"/>
      <c r="P63" s="55">
        <v>14200</v>
      </c>
      <c r="Q63" s="46">
        <v>20200</v>
      </c>
      <c r="R63" s="43"/>
      <c r="S63" s="55"/>
      <c r="T63" s="55"/>
      <c r="U63" s="46"/>
    </row>
    <row r="64" spans="1:21" s="37" customFormat="1" x14ac:dyDescent="0.2">
      <c r="A64" s="38" t="s">
        <v>103</v>
      </c>
      <c r="B64" s="43"/>
      <c r="C64" s="43"/>
      <c r="D64" s="43">
        <v>1730.77</v>
      </c>
      <c r="E64" s="43"/>
      <c r="F64" s="43"/>
      <c r="G64" s="44"/>
      <c r="H64" s="45"/>
      <c r="I64" s="58">
        <f>4250+509.3</f>
        <v>4759.3</v>
      </c>
      <c r="J64" s="46">
        <v>6490</v>
      </c>
      <c r="K64" s="43"/>
      <c r="L64" s="45"/>
      <c r="M64" s="58"/>
      <c r="N64" s="46"/>
      <c r="O64" s="43"/>
      <c r="P64" s="55"/>
      <c r="Q64" s="46"/>
      <c r="R64" s="43"/>
      <c r="S64" s="55"/>
      <c r="T64" s="55"/>
      <c r="U64" s="46"/>
    </row>
    <row r="65" spans="1:21" s="37" customFormat="1" x14ac:dyDescent="0.2">
      <c r="A65" s="38" t="s">
        <v>104</v>
      </c>
      <c r="B65" s="43"/>
      <c r="C65" s="43"/>
      <c r="D65" s="43">
        <v>2331.21</v>
      </c>
      <c r="E65" s="43"/>
      <c r="F65" s="43"/>
      <c r="G65" s="44"/>
      <c r="H65" s="45"/>
      <c r="I65" s="58">
        <f>15750+9418.78</f>
        <v>25168.78</v>
      </c>
      <c r="J65" s="46">
        <v>27500</v>
      </c>
      <c r="K65" s="43"/>
      <c r="L65" s="45"/>
      <c r="M65" s="58"/>
      <c r="N65" s="46"/>
      <c r="O65" s="43"/>
      <c r="P65" s="55"/>
      <c r="Q65" s="46"/>
      <c r="R65" s="43"/>
      <c r="S65" s="55"/>
      <c r="T65" s="55"/>
      <c r="U65" s="46"/>
    </row>
    <row r="66" spans="1:21" s="37" customFormat="1" x14ac:dyDescent="0.2">
      <c r="A66" s="38" t="s">
        <v>105</v>
      </c>
      <c r="B66" s="43"/>
      <c r="C66" s="43"/>
      <c r="D66" s="43">
        <v>3264.72</v>
      </c>
      <c r="E66" s="43"/>
      <c r="F66" s="43"/>
      <c r="G66" s="44"/>
      <c r="H66" s="45"/>
      <c r="I66" s="58">
        <f>2169+2175.17</f>
        <v>4344.17</v>
      </c>
      <c r="J66" s="46">
        <v>7500</v>
      </c>
      <c r="K66" s="43"/>
      <c r="L66" s="45"/>
      <c r="M66" s="58"/>
      <c r="N66" s="46"/>
      <c r="O66" s="43"/>
      <c r="P66" s="55"/>
      <c r="Q66" s="46"/>
      <c r="R66" s="43"/>
      <c r="S66" s="55"/>
      <c r="T66" s="55"/>
      <c r="U66" s="46"/>
    </row>
    <row r="67" spans="1:21" s="37" customFormat="1" ht="25.5" x14ac:dyDescent="0.2">
      <c r="A67" s="38" t="s">
        <v>106</v>
      </c>
      <c r="B67" s="43"/>
      <c r="C67" s="43"/>
      <c r="D67" s="43">
        <v>1152.77</v>
      </c>
      <c r="E67" s="43"/>
      <c r="F67" s="43"/>
      <c r="G67" s="44"/>
      <c r="H67" s="45"/>
      <c r="I67" s="58">
        <v>6347.22</v>
      </c>
      <c r="J67" s="46">
        <v>7500</v>
      </c>
      <c r="K67" s="43"/>
      <c r="L67" s="45"/>
      <c r="M67" s="58"/>
      <c r="N67" s="46"/>
      <c r="O67" s="43"/>
      <c r="P67" s="55"/>
      <c r="Q67" s="46"/>
      <c r="R67" s="43"/>
      <c r="S67" s="55"/>
      <c r="T67" s="55"/>
      <c r="U67" s="46"/>
    </row>
    <row r="68" spans="1:21" s="37" customFormat="1" x14ac:dyDescent="0.2">
      <c r="A68" s="38" t="s">
        <v>107</v>
      </c>
      <c r="B68" s="43"/>
      <c r="C68" s="43"/>
      <c r="D68" s="43"/>
      <c r="E68" s="43"/>
      <c r="F68" s="43"/>
      <c r="G68" s="44"/>
      <c r="H68" s="45">
        <v>0</v>
      </c>
      <c r="I68" s="58">
        <v>6300</v>
      </c>
      <c r="J68" s="46"/>
      <c r="K68" s="43"/>
      <c r="L68" s="45"/>
      <c r="M68" s="58">
        <v>12100</v>
      </c>
      <c r="N68" s="46"/>
      <c r="O68" s="43"/>
      <c r="P68" s="55"/>
      <c r="Q68" s="46">
        <v>18400</v>
      </c>
      <c r="R68" s="43"/>
      <c r="S68" s="55"/>
      <c r="T68" s="55"/>
      <c r="U68" s="46"/>
    </row>
    <row r="69" spans="1:21" s="37" customFormat="1" x14ac:dyDescent="0.2">
      <c r="A69" s="38" t="s">
        <v>108</v>
      </c>
      <c r="B69" s="43"/>
      <c r="C69" s="43"/>
      <c r="D69" s="43"/>
      <c r="E69" s="43"/>
      <c r="F69" s="43"/>
      <c r="G69" s="44"/>
      <c r="H69" s="45">
        <v>0</v>
      </c>
      <c r="I69" s="58">
        <v>0</v>
      </c>
      <c r="J69" s="46"/>
      <c r="K69" s="43"/>
      <c r="L69" s="45"/>
      <c r="M69" s="58">
        <v>4200</v>
      </c>
      <c r="N69" s="46"/>
      <c r="O69" s="43"/>
      <c r="P69" s="55">
        <v>12400</v>
      </c>
      <c r="Q69" s="46">
        <v>16600</v>
      </c>
      <c r="R69" s="43"/>
      <c r="S69" s="55"/>
      <c r="T69" s="55"/>
      <c r="U69" s="46"/>
    </row>
    <row r="70" spans="1:21" s="37" customFormat="1" ht="25.5" x14ac:dyDescent="0.2">
      <c r="A70" s="39" t="s">
        <v>77</v>
      </c>
      <c r="B70" s="43"/>
      <c r="C70" s="43"/>
      <c r="D70" s="43"/>
      <c r="E70" s="43">
        <v>15545.26</v>
      </c>
      <c r="F70" s="43"/>
      <c r="G70" s="44"/>
      <c r="H70" s="45"/>
      <c r="I70" s="58"/>
      <c r="J70" s="46"/>
      <c r="K70" s="43"/>
      <c r="L70" s="45"/>
      <c r="M70" s="58"/>
      <c r="N70" s="46"/>
      <c r="O70" s="43"/>
      <c r="P70" s="55"/>
      <c r="Q70" s="46"/>
      <c r="R70" s="43"/>
      <c r="S70" s="55"/>
      <c r="T70" s="55"/>
      <c r="U70" s="46"/>
    </row>
    <row r="71" spans="1:21" s="37" customFormat="1" ht="25.5" x14ac:dyDescent="0.2">
      <c r="A71" s="39" t="s">
        <v>79</v>
      </c>
      <c r="B71" s="43"/>
      <c r="C71" s="43"/>
      <c r="D71" s="43">
        <v>1156.56</v>
      </c>
      <c r="E71" s="43">
        <v>11447.35</v>
      </c>
      <c r="F71" s="43"/>
      <c r="G71" s="44"/>
      <c r="H71" s="45"/>
      <c r="I71" s="58"/>
      <c r="J71" s="46"/>
      <c r="K71" s="43"/>
      <c r="L71" s="45"/>
      <c r="M71" s="58"/>
      <c r="N71" s="46"/>
      <c r="O71" s="43"/>
      <c r="P71" s="55"/>
      <c r="Q71" s="46"/>
      <c r="R71" s="43"/>
      <c r="S71" s="55"/>
      <c r="T71" s="55"/>
      <c r="U71" s="46"/>
    </row>
    <row r="72" spans="1:21" s="37" customFormat="1" x14ac:dyDescent="0.2">
      <c r="A72" s="39" t="s">
        <v>78</v>
      </c>
      <c r="B72" s="43"/>
      <c r="C72" s="43"/>
      <c r="D72" s="43"/>
      <c r="E72" s="43"/>
      <c r="F72" s="43"/>
      <c r="G72" s="44"/>
      <c r="H72" s="45"/>
      <c r="I72" s="58"/>
      <c r="J72" s="46"/>
      <c r="K72" s="43"/>
      <c r="L72" s="45"/>
      <c r="M72" s="58"/>
      <c r="N72" s="46"/>
      <c r="O72" s="43"/>
      <c r="P72" s="55"/>
      <c r="Q72" s="46"/>
      <c r="R72" s="43"/>
      <c r="S72" s="55"/>
      <c r="T72" s="55"/>
      <c r="U72" s="46"/>
    </row>
    <row r="73" spans="1:21" s="37" customFormat="1" x14ac:dyDescent="0.2">
      <c r="A73" s="39" t="s">
        <v>80</v>
      </c>
      <c r="B73" s="43"/>
      <c r="C73" s="43"/>
      <c r="D73" s="43">
        <v>2148.46</v>
      </c>
      <c r="E73" s="43"/>
      <c r="F73" s="43"/>
      <c r="G73" s="44"/>
      <c r="H73" s="45"/>
      <c r="I73" s="58">
        <f>5292+3701.2</f>
        <v>8993.2000000000007</v>
      </c>
      <c r="J73" s="46">
        <v>11141.67</v>
      </c>
      <c r="K73" s="43"/>
      <c r="L73" s="45"/>
      <c r="M73" s="58"/>
      <c r="N73" s="46"/>
      <c r="O73" s="43"/>
      <c r="P73" s="55"/>
      <c r="Q73" s="46"/>
      <c r="R73" s="43"/>
      <c r="S73" s="55"/>
      <c r="T73" s="55"/>
      <c r="U73" s="46"/>
    </row>
    <row r="74" spans="1:21" s="37" customFormat="1" ht="25.5" x14ac:dyDescent="0.2">
      <c r="A74" s="39" t="s">
        <v>81</v>
      </c>
      <c r="B74" s="43"/>
      <c r="C74" s="43"/>
      <c r="D74" s="43"/>
      <c r="E74" s="43"/>
      <c r="F74" s="43"/>
      <c r="G74" s="44"/>
      <c r="H74" s="45"/>
      <c r="I74" s="58"/>
      <c r="J74" s="46"/>
      <c r="K74" s="43"/>
      <c r="L74" s="45"/>
      <c r="M74" s="58">
        <v>3473</v>
      </c>
      <c r="N74" s="46"/>
      <c r="O74" s="43"/>
      <c r="P74" s="55"/>
      <c r="Q74" s="46">
        <v>3473</v>
      </c>
      <c r="R74" s="43"/>
      <c r="S74" s="55"/>
      <c r="T74" s="55"/>
      <c r="U74" s="46"/>
    </row>
    <row r="75" spans="1:21" s="37" customFormat="1" x14ac:dyDescent="0.2">
      <c r="A75" s="39" t="s">
        <v>82</v>
      </c>
      <c r="B75" s="43"/>
      <c r="C75" s="43"/>
      <c r="D75" s="43"/>
      <c r="E75" s="43"/>
      <c r="F75" s="43"/>
      <c r="G75" s="44"/>
      <c r="H75" s="45"/>
      <c r="I75" s="58"/>
      <c r="J75" s="46"/>
      <c r="K75" s="43"/>
      <c r="L75" s="45"/>
      <c r="M75" s="58">
        <v>4096</v>
      </c>
      <c r="N75" s="46"/>
      <c r="O75" s="43"/>
      <c r="P75" s="55"/>
      <c r="Q75" s="46">
        <v>4096</v>
      </c>
      <c r="R75" s="43"/>
      <c r="S75" s="55"/>
      <c r="T75" s="55"/>
      <c r="U75" s="46"/>
    </row>
    <row r="76" spans="1:21" s="37" customFormat="1" x14ac:dyDescent="0.2">
      <c r="A76" s="39" t="s">
        <v>83</v>
      </c>
      <c r="B76" s="43"/>
      <c r="C76" s="43"/>
      <c r="D76" s="43"/>
      <c r="E76" s="43"/>
      <c r="F76" s="43"/>
      <c r="G76" s="44"/>
      <c r="H76" s="45"/>
      <c r="I76" s="58"/>
      <c r="J76" s="46"/>
      <c r="K76" s="43"/>
      <c r="L76" s="45"/>
      <c r="M76" s="58">
        <v>3819</v>
      </c>
      <c r="N76" s="46"/>
      <c r="O76" s="43"/>
      <c r="P76" s="55"/>
      <c r="Q76" s="46">
        <v>3819</v>
      </c>
      <c r="R76" s="43"/>
      <c r="S76" s="55"/>
      <c r="T76" s="55"/>
      <c r="U76" s="46"/>
    </row>
    <row r="77" spans="1:21" s="37" customFormat="1" x14ac:dyDescent="0.2">
      <c r="A77" s="39" t="s">
        <v>84</v>
      </c>
      <c r="B77" s="43"/>
      <c r="C77" s="43"/>
      <c r="D77" s="43"/>
      <c r="E77" s="43"/>
      <c r="F77" s="43"/>
      <c r="G77" s="44"/>
      <c r="H77" s="45"/>
      <c r="I77" s="58"/>
      <c r="J77" s="46"/>
      <c r="K77" s="43"/>
      <c r="L77" s="45"/>
      <c r="M77" s="58">
        <v>7264</v>
      </c>
      <c r="N77" s="46"/>
      <c r="O77" s="43"/>
      <c r="P77" s="55"/>
      <c r="Q77" s="46">
        <v>7264</v>
      </c>
      <c r="R77" s="43"/>
      <c r="S77" s="55"/>
      <c r="T77" s="55"/>
      <c r="U77" s="46"/>
    </row>
    <row r="78" spans="1:21" s="37" customFormat="1" x14ac:dyDescent="0.2">
      <c r="A78" s="39" t="s">
        <v>85</v>
      </c>
      <c r="B78" s="43"/>
      <c r="C78" s="43"/>
      <c r="D78" s="43"/>
      <c r="E78" s="43"/>
      <c r="F78" s="43"/>
      <c r="G78" s="44"/>
      <c r="H78" s="45"/>
      <c r="I78" s="58"/>
      <c r="J78" s="46"/>
      <c r="K78" s="43"/>
      <c r="L78" s="45"/>
      <c r="M78" s="58">
        <v>12270</v>
      </c>
      <c r="N78" s="46"/>
      <c r="O78" s="43"/>
      <c r="P78" s="55"/>
      <c r="Q78" s="46">
        <v>12270</v>
      </c>
      <c r="R78" s="43"/>
      <c r="S78" s="55"/>
      <c r="T78" s="55"/>
      <c r="U78" s="46"/>
    </row>
    <row r="79" spans="1:21" s="37" customFormat="1" x14ac:dyDescent="0.2">
      <c r="A79" s="39" t="s">
        <v>86</v>
      </c>
      <c r="B79" s="43"/>
      <c r="C79" s="43"/>
      <c r="D79" s="43"/>
      <c r="E79" s="43"/>
      <c r="F79" s="43"/>
      <c r="G79" s="44"/>
      <c r="H79" s="45"/>
      <c r="I79" s="58"/>
      <c r="J79" s="46"/>
      <c r="K79" s="43"/>
      <c r="L79" s="45"/>
      <c r="M79" s="58">
        <v>1561</v>
      </c>
      <c r="N79" s="46"/>
      <c r="O79" s="43"/>
      <c r="P79" s="55"/>
      <c r="Q79" s="46">
        <v>1561</v>
      </c>
      <c r="R79" s="43"/>
      <c r="S79" s="55"/>
      <c r="T79" s="55"/>
      <c r="U79" s="46"/>
    </row>
    <row r="80" spans="1:21" s="37" customFormat="1" x14ac:dyDescent="0.2">
      <c r="A80" s="39" t="s">
        <v>87</v>
      </c>
      <c r="B80" s="43"/>
      <c r="C80" s="43"/>
      <c r="D80" s="43"/>
      <c r="E80" s="43"/>
      <c r="F80" s="43"/>
      <c r="G80" s="44"/>
      <c r="H80" s="45"/>
      <c r="I80" s="58"/>
      <c r="J80" s="46"/>
      <c r="K80" s="43"/>
      <c r="L80" s="45"/>
      <c r="M80" s="58">
        <v>7683</v>
      </c>
      <c r="N80" s="46"/>
      <c r="O80" s="43"/>
      <c r="P80" s="55"/>
      <c r="Q80" s="46">
        <v>7683</v>
      </c>
      <c r="R80" s="43"/>
      <c r="S80" s="55"/>
      <c r="T80" s="55"/>
      <c r="U80" s="46"/>
    </row>
    <row r="81" spans="1:21" s="37" customFormat="1" x14ac:dyDescent="0.2">
      <c r="A81" s="39" t="s">
        <v>88</v>
      </c>
      <c r="B81" s="43"/>
      <c r="C81" s="43"/>
      <c r="D81" s="43"/>
      <c r="E81" s="43"/>
      <c r="F81" s="43"/>
      <c r="G81" s="44"/>
      <c r="H81" s="45"/>
      <c r="I81" s="58"/>
      <c r="J81" s="46"/>
      <c r="K81" s="43"/>
      <c r="L81" s="45"/>
      <c r="M81" s="58">
        <v>10928</v>
      </c>
      <c r="N81" s="46"/>
      <c r="O81" s="43"/>
      <c r="P81" s="55"/>
      <c r="Q81" s="46">
        <v>10928</v>
      </c>
      <c r="R81" s="43"/>
      <c r="S81" s="55"/>
      <c r="T81" s="55"/>
      <c r="U81" s="46"/>
    </row>
    <row r="82" spans="1:21" s="37" customFormat="1" x14ac:dyDescent="0.2">
      <c r="A82" s="39" t="s">
        <v>89</v>
      </c>
      <c r="B82" s="43"/>
      <c r="C82" s="43"/>
      <c r="D82" s="43"/>
      <c r="E82" s="43"/>
      <c r="F82" s="43"/>
      <c r="G82" s="44"/>
      <c r="H82" s="45"/>
      <c r="I82" s="58"/>
      <c r="J82" s="46"/>
      <c r="K82" s="43"/>
      <c r="L82" s="45"/>
      <c r="M82" s="58">
        <v>3356</v>
      </c>
      <c r="N82" s="46"/>
      <c r="O82" s="43"/>
      <c r="P82" s="55"/>
      <c r="Q82" s="46">
        <v>3356</v>
      </c>
      <c r="R82" s="43"/>
      <c r="S82" s="55"/>
      <c r="T82" s="55"/>
      <c r="U82" s="46"/>
    </row>
    <row r="83" spans="1:21" s="37" customFormat="1" x14ac:dyDescent="0.2">
      <c r="A83" s="39" t="s">
        <v>90</v>
      </c>
      <c r="B83" s="43"/>
      <c r="C83" s="43"/>
      <c r="D83" s="43"/>
      <c r="E83" s="43"/>
      <c r="F83" s="43"/>
      <c r="G83" s="44"/>
      <c r="H83" s="45"/>
      <c r="I83" s="58"/>
      <c r="J83" s="46"/>
      <c r="K83" s="43"/>
      <c r="L83" s="45"/>
      <c r="M83" s="58">
        <v>2380</v>
      </c>
      <c r="N83" s="46"/>
      <c r="O83" s="43"/>
      <c r="P83" s="55"/>
      <c r="Q83" s="46">
        <v>2380</v>
      </c>
      <c r="R83" s="43"/>
      <c r="S83" s="55"/>
      <c r="T83" s="55"/>
      <c r="U83" s="46"/>
    </row>
    <row r="84" spans="1:21" s="37" customFormat="1" x14ac:dyDescent="0.2">
      <c r="A84" s="39" t="s">
        <v>155</v>
      </c>
      <c r="B84" s="43"/>
      <c r="C84" s="43"/>
      <c r="D84" s="43"/>
      <c r="E84" s="43"/>
      <c r="F84" s="43"/>
      <c r="G84" s="44"/>
      <c r="H84" s="45"/>
      <c r="I84" s="58"/>
      <c r="J84" s="46"/>
      <c r="K84" s="102"/>
      <c r="L84" s="102"/>
      <c r="M84" s="58">
        <v>4800</v>
      </c>
      <c r="N84" s="46">
        <v>4800</v>
      </c>
      <c r="O84" s="43"/>
      <c r="P84" s="55"/>
      <c r="Q84" s="46"/>
      <c r="R84" s="43"/>
      <c r="S84" s="55"/>
      <c r="T84" s="55"/>
      <c r="U84" s="46"/>
    </row>
    <row r="85" spans="1:21" s="37" customFormat="1" x14ac:dyDescent="0.2">
      <c r="A85" s="39" t="s">
        <v>156</v>
      </c>
      <c r="B85" s="43"/>
      <c r="C85" s="43"/>
      <c r="D85" s="43"/>
      <c r="E85" s="43"/>
      <c r="F85" s="43"/>
      <c r="G85" s="44"/>
      <c r="H85" s="45"/>
      <c r="I85" s="58"/>
      <c r="J85" s="46"/>
      <c r="K85" s="102"/>
      <c r="L85" s="102"/>
      <c r="M85" s="58">
        <v>3800</v>
      </c>
      <c r="N85" s="46">
        <v>3800</v>
      </c>
      <c r="O85" s="43"/>
      <c r="P85" s="55"/>
      <c r="Q85" s="46"/>
      <c r="R85" s="43"/>
      <c r="S85" s="55"/>
      <c r="T85" s="55"/>
      <c r="U85" s="46"/>
    </row>
    <row r="86" spans="1:21" s="37" customFormat="1" ht="25.5" x14ac:dyDescent="0.2">
      <c r="A86" s="39" t="s">
        <v>157</v>
      </c>
      <c r="B86" s="43"/>
      <c r="C86" s="43"/>
      <c r="D86" s="43"/>
      <c r="E86" s="43"/>
      <c r="F86" s="43"/>
      <c r="G86" s="44"/>
      <c r="H86" s="45"/>
      <c r="I86" s="58"/>
      <c r="J86" s="46"/>
      <c r="K86" s="102"/>
      <c r="L86" s="102"/>
      <c r="M86" s="58">
        <v>3800</v>
      </c>
      <c r="N86" s="46">
        <v>3800</v>
      </c>
      <c r="O86" s="43"/>
      <c r="P86" s="55"/>
      <c r="Q86" s="46"/>
      <c r="R86" s="43"/>
      <c r="S86" s="55"/>
      <c r="T86" s="55"/>
      <c r="U86" s="46"/>
    </row>
    <row r="87" spans="1:21" s="37" customFormat="1" x14ac:dyDescent="0.2">
      <c r="A87" s="39" t="s">
        <v>158</v>
      </c>
      <c r="B87" s="43"/>
      <c r="C87" s="43"/>
      <c r="D87" s="43"/>
      <c r="E87" s="43"/>
      <c r="F87" s="43"/>
      <c r="G87" s="44"/>
      <c r="H87" s="45"/>
      <c r="I87" s="58"/>
      <c r="J87" s="46"/>
      <c r="K87" s="102"/>
      <c r="L87" s="102"/>
      <c r="M87" s="58">
        <v>6800</v>
      </c>
      <c r="N87" s="46">
        <v>6800</v>
      </c>
      <c r="O87" s="43"/>
      <c r="P87" s="55"/>
      <c r="Q87" s="46"/>
      <c r="R87" s="43"/>
      <c r="S87" s="55"/>
      <c r="T87" s="55"/>
      <c r="U87" s="46"/>
    </row>
    <row r="88" spans="1:21" s="37" customFormat="1" ht="25.5" x14ac:dyDescent="0.2">
      <c r="A88" s="39" t="s">
        <v>159</v>
      </c>
      <c r="B88" s="43"/>
      <c r="C88" s="43"/>
      <c r="D88" s="43"/>
      <c r="E88" s="43"/>
      <c r="F88" s="43"/>
      <c r="G88" s="44"/>
      <c r="H88" s="45"/>
      <c r="I88" s="58"/>
      <c r="J88" s="46"/>
      <c r="K88" s="102"/>
      <c r="L88" s="102"/>
      <c r="M88" s="58">
        <v>3300</v>
      </c>
      <c r="N88" s="46">
        <v>3300</v>
      </c>
      <c r="O88" s="43"/>
      <c r="P88" s="55"/>
      <c r="Q88" s="46"/>
      <c r="R88" s="43"/>
      <c r="S88" s="55"/>
      <c r="T88" s="55"/>
      <c r="U88" s="46"/>
    </row>
    <row r="89" spans="1:21" x14ac:dyDescent="0.2">
      <c r="A89" s="16" t="s">
        <v>7</v>
      </c>
      <c r="B89" s="23"/>
      <c r="C89" s="23"/>
      <c r="D89" s="23"/>
      <c r="E89" s="23"/>
      <c r="F89" s="23">
        <v>162175.28</v>
      </c>
      <c r="G89" s="6"/>
      <c r="H89" s="6">
        <v>22700</v>
      </c>
      <c r="I89" s="59"/>
      <c r="J89" s="24"/>
      <c r="K89" s="23"/>
      <c r="L89" s="6">
        <v>500</v>
      </c>
      <c r="M89" s="59"/>
      <c r="N89" s="24"/>
      <c r="O89" s="23"/>
      <c r="P89" s="56"/>
      <c r="Q89" s="24"/>
      <c r="R89" s="23"/>
      <c r="S89" s="56"/>
      <c r="T89" s="56"/>
      <c r="U89" s="24"/>
    </row>
    <row r="90" spans="1:21" x14ac:dyDescent="0.2">
      <c r="A90" s="16" t="s">
        <v>8</v>
      </c>
      <c r="B90" s="23"/>
      <c r="C90" s="23"/>
      <c r="D90" s="23"/>
      <c r="E90" s="23"/>
      <c r="F90" s="23"/>
      <c r="G90" s="6"/>
      <c r="H90" s="6">
        <v>17098</v>
      </c>
      <c r="I90" s="59"/>
      <c r="J90" s="24"/>
      <c r="K90" s="47"/>
      <c r="L90" s="6">
        <v>20000</v>
      </c>
      <c r="M90" s="59"/>
      <c r="N90" s="24"/>
      <c r="O90" s="23">
        <v>13500</v>
      </c>
      <c r="P90" s="56"/>
      <c r="Q90" s="24"/>
      <c r="R90" s="23"/>
      <c r="S90" s="56"/>
      <c r="T90" s="56"/>
      <c r="U90" s="24"/>
    </row>
    <row r="91" spans="1:21" x14ac:dyDescent="0.2">
      <c r="A91" s="16" t="s">
        <v>9</v>
      </c>
      <c r="B91" s="23"/>
      <c r="C91" s="23"/>
      <c r="D91" s="23"/>
      <c r="E91" s="23"/>
      <c r="F91" s="23"/>
      <c r="G91" s="6"/>
      <c r="H91" s="6">
        <v>5500</v>
      </c>
      <c r="I91" s="59"/>
      <c r="J91" s="24"/>
      <c r="K91" s="47"/>
      <c r="L91" s="6"/>
      <c r="M91" s="59"/>
      <c r="N91" s="24"/>
      <c r="O91" s="23"/>
      <c r="P91" s="56"/>
      <c r="Q91" s="24"/>
      <c r="R91" s="23"/>
      <c r="S91" s="56"/>
      <c r="T91" s="56"/>
      <c r="U91" s="24"/>
    </row>
    <row r="92" spans="1:21" x14ac:dyDescent="0.2">
      <c r="A92" s="16" t="s">
        <v>10</v>
      </c>
      <c r="B92" s="23"/>
      <c r="C92" s="23"/>
      <c r="D92" s="23"/>
      <c r="E92" s="23"/>
      <c r="F92" s="23"/>
      <c r="G92" s="6"/>
      <c r="H92" s="6">
        <v>30200</v>
      </c>
      <c r="I92" s="59"/>
      <c r="J92" s="24"/>
      <c r="K92" s="23"/>
      <c r="L92" s="6"/>
      <c r="M92" s="59"/>
      <c r="N92" s="24"/>
      <c r="O92" s="23"/>
      <c r="P92" s="56"/>
      <c r="Q92" s="24"/>
      <c r="R92" s="23"/>
      <c r="S92" s="56"/>
      <c r="T92" s="56"/>
      <c r="U92" s="24"/>
    </row>
    <row r="93" spans="1:21" x14ac:dyDescent="0.2">
      <c r="A93" s="16" t="s">
        <v>11</v>
      </c>
      <c r="B93" s="23"/>
      <c r="C93" s="23"/>
      <c r="D93" s="23"/>
      <c r="E93" s="23"/>
      <c r="F93" s="23"/>
      <c r="G93" s="6"/>
      <c r="H93" s="6">
        <v>15000</v>
      </c>
      <c r="I93" s="59"/>
      <c r="J93" s="24"/>
      <c r="K93" s="23"/>
      <c r="L93" s="6"/>
      <c r="M93" s="59"/>
      <c r="N93" s="24"/>
      <c r="O93" s="23"/>
      <c r="P93" s="56"/>
      <c r="Q93" s="24"/>
      <c r="R93" s="23"/>
      <c r="S93" s="56"/>
      <c r="T93" s="56"/>
      <c r="U93" s="24"/>
    </row>
    <row r="94" spans="1:21" x14ac:dyDescent="0.2">
      <c r="A94" s="16" t="s">
        <v>12</v>
      </c>
      <c r="B94" s="23"/>
      <c r="C94" s="23"/>
      <c r="D94" s="23"/>
      <c r="E94" s="23"/>
      <c r="F94" s="23"/>
      <c r="G94" s="6"/>
      <c r="H94" s="6">
        <v>52090</v>
      </c>
      <c r="I94" s="59"/>
      <c r="J94" s="24"/>
      <c r="K94" s="23"/>
      <c r="L94" s="6"/>
      <c r="M94" s="59"/>
      <c r="N94" s="24"/>
      <c r="O94" s="23"/>
      <c r="P94" s="56"/>
      <c r="Q94" s="24"/>
      <c r="R94" s="23"/>
      <c r="S94" s="56"/>
      <c r="T94" s="56"/>
      <c r="U94" s="24"/>
    </row>
    <row r="95" spans="1:21" x14ac:dyDescent="0.2">
      <c r="A95" s="16" t="s">
        <v>13</v>
      </c>
      <c r="B95" s="23"/>
      <c r="C95" s="23"/>
      <c r="D95" s="23"/>
      <c r="E95" s="23"/>
      <c r="F95" s="23"/>
      <c r="G95" s="6"/>
      <c r="H95" s="6">
        <v>20000</v>
      </c>
      <c r="I95" s="59"/>
      <c r="J95" s="24"/>
      <c r="K95" s="47"/>
      <c r="L95" s="6">
        <v>20000</v>
      </c>
      <c r="M95" s="59"/>
      <c r="N95" s="24"/>
      <c r="O95" s="23"/>
      <c r="P95" s="56"/>
      <c r="Q95" s="24"/>
      <c r="R95" s="23"/>
      <c r="S95" s="56"/>
      <c r="T95" s="56"/>
      <c r="U95" s="24"/>
    </row>
    <row r="96" spans="1:21" x14ac:dyDescent="0.2">
      <c r="A96" s="19" t="s">
        <v>14</v>
      </c>
      <c r="B96" s="23"/>
      <c r="C96" s="23"/>
      <c r="D96" s="23"/>
      <c r="E96" s="23"/>
      <c r="F96" s="23"/>
      <c r="G96" s="6"/>
      <c r="H96" s="6">
        <v>30000</v>
      </c>
      <c r="I96" s="59"/>
      <c r="J96" s="24"/>
      <c r="K96" s="47"/>
      <c r="L96" s="6">
        <v>21139</v>
      </c>
      <c r="M96" s="59"/>
      <c r="N96" s="24"/>
      <c r="O96" s="23"/>
      <c r="P96" s="56"/>
      <c r="Q96" s="24"/>
      <c r="R96" s="23"/>
      <c r="S96" s="56"/>
      <c r="T96" s="56"/>
      <c r="U96" s="24"/>
    </row>
    <row r="97" spans="1:21" x14ac:dyDescent="0.2">
      <c r="A97" s="16" t="s">
        <v>15</v>
      </c>
      <c r="B97" s="23"/>
      <c r="C97" s="23"/>
      <c r="D97" s="23"/>
      <c r="E97" s="23"/>
      <c r="F97" s="23"/>
      <c r="G97" s="6"/>
      <c r="H97" s="6">
        <v>62571</v>
      </c>
      <c r="I97" s="59"/>
      <c r="J97" s="24"/>
      <c r="K97" s="47"/>
      <c r="L97" s="6">
        <v>113428</v>
      </c>
      <c r="M97" s="59"/>
      <c r="N97" s="24"/>
      <c r="O97" s="23"/>
      <c r="P97" s="56"/>
      <c r="Q97" s="24"/>
      <c r="R97" s="23"/>
      <c r="S97" s="56"/>
      <c r="T97" s="56"/>
      <c r="U97" s="24"/>
    </row>
    <row r="98" spans="1:21" ht="25.5" x14ac:dyDescent="0.2">
      <c r="A98" s="16" t="s">
        <v>35</v>
      </c>
      <c r="B98" s="23"/>
      <c r="C98" s="23"/>
      <c r="D98" s="23"/>
      <c r="E98" s="23"/>
      <c r="F98" s="23"/>
      <c r="G98" s="6"/>
      <c r="H98" s="6">
        <v>6200</v>
      </c>
      <c r="I98" s="59"/>
      <c r="J98" s="24"/>
      <c r="K98" s="23"/>
      <c r="L98" s="6"/>
      <c r="M98" s="59"/>
      <c r="N98" s="24"/>
      <c r="O98" s="23"/>
      <c r="P98" s="56"/>
      <c r="Q98" s="24"/>
      <c r="R98" s="23"/>
      <c r="S98" s="56"/>
      <c r="T98" s="56"/>
      <c r="U98" s="24"/>
    </row>
    <row r="99" spans="1:21" x14ac:dyDescent="0.2">
      <c r="A99" s="16" t="s">
        <v>16</v>
      </c>
      <c r="B99" s="23"/>
      <c r="C99" s="23"/>
      <c r="D99" s="23"/>
      <c r="E99" s="23"/>
      <c r="F99" s="23"/>
      <c r="G99" s="6"/>
      <c r="H99" s="6">
        <v>5500</v>
      </c>
      <c r="I99" s="59"/>
      <c r="J99" s="24"/>
      <c r="K99" s="47"/>
      <c r="L99" s="6">
        <v>25000</v>
      </c>
      <c r="M99" s="59"/>
      <c r="N99" s="24"/>
      <c r="O99" s="23"/>
      <c r="P99" s="56"/>
      <c r="Q99" s="24"/>
      <c r="R99" s="23"/>
      <c r="S99" s="56"/>
      <c r="T99" s="56"/>
      <c r="U99" s="24"/>
    </row>
    <row r="100" spans="1:21" x14ac:dyDescent="0.2">
      <c r="A100" s="16" t="s">
        <v>17</v>
      </c>
      <c r="B100" s="23"/>
      <c r="C100" s="23"/>
      <c r="D100" s="23"/>
      <c r="E100" s="23"/>
      <c r="F100" s="23"/>
      <c r="G100" s="6"/>
      <c r="H100" s="6">
        <v>51000</v>
      </c>
      <c r="I100" s="59"/>
      <c r="J100" s="24"/>
      <c r="K100" s="23"/>
      <c r="L100" s="6"/>
      <c r="M100" s="59"/>
      <c r="N100" s="24"/>
      <c r="O100" s="23"/>
      <c r="P100" s="56"/>
      <c r="Q100" s="24"/>
      <c r="R100" s="23"/>
      <c r="S100" s="56"/>
      <c r="T100" s="56"/>
      <c r="U100" s="24"/>
    </row>
    <row r="101" spans="1:21" ht="38.25" x14ac:dyDescent="0.2">
      <c r="A101" s="16" t="s">
        <v>34</v>
      </c>
      <c r="B101" s="23"/>
      <c r="C101" s="23"/>
      <c r="D101" s="23"/>
      <c r="E101" s="23"/>
      <c r="F101" s="23"/>
      <c r="G101" s="6"/>
      <c r="H101" s="6">
        <v>38000</v>
      </c>
      <c r="I101" s="59"/>
      <c r="J101" s="24"/>
      <c r="K101" s="23"/>
      <c r="L101" s="6"/>
      <c r="M101" s="59"/>
      <c r="N101" s="24"/>
      <c r="O101" s="23"/>
      <c r="P101" s="56"/>
      <c r="Q101" s="24"/>
      <c r="R101" s="23"/>
      <c r="S101" s="56"/>
      <c r="T101" s="56"/>
      <c r="U101" s="24"/>
    </row>
    <row r="102" spans="1:21" x14ac:dyDescent="0.2">
      <c r="A102" s="16" t="s">
        <v>18</v>
      </c>
      <c r="B102" s="23"/>
      <c r="C102" s="23"/>
      <c r="D102" s="23"/>
      <c r="E102" s="23"/>
      <c r="F102" s="23"/>
      <c r="G102" s="6"/>
      <c r="H102" s="6">
        <v>15000</v>
      </c>
      <c r="I102" s="59"/>
      <c r="J102" s="24"/>
      <c r="K102" s="47"/>
      <c r="L102" s="6">
        <v>15000</v>
      </c>
      <c r="M102" s="59"/>
      <c r="N102" s="24"/>
      <c r="O102" s="23"/>
      <c r="P102" s="56"/>
      <c r="Q102" s="24"/>
      <c r="R102" s="23"/>
      <c r="S102" s="56"/>
      <c r="T102" s="56"/>
      <c r="U102" s="24"/>
    </row>
    <row r="103" spans="1:21" s="8" customFormat="1" x14ac:dyDescent="0.2">
      <c r="A103" s="17" t="s">
        <v>28</v>
      </c>
      <c r="B103" s="25">
        <f t="shared" ref="B103:R103" si="3">SUM(B63:B102)</f>
        <v>0</v>
      </c>
      <c r="C103" s="25">
        <f t="shared" si="3"/>
        <v>0</v>
      </c>
      <c r="D103" s="25">
        <f t="shared" si="3"/>
        <v>11784.489999999998</v>
      </c>
      <c r="E103" s="25">
        <f t="shared" si="3"/>
        <v>26992.61</v>
      </c>
      <c r="F103" s="25">
        <f t="shared" si="3"/>
        <v>162175.28</v>
      </c>
      <c r="G103" s="1">
        <f t="shared" si="3"/>
        <v>0</v>
      </c>
      <c r="H103" s="1">
        <f t="shared" si="3"/>
        <v>370859</v>
      </c>
      <c r="I103" s="60">
        <f t="shared" si="3"/>
        <v>55912.67</v>
      </c>
      <c r="J103" s="63">
        <f t="shared" si="3"/>
        <v>60131.67</v>
      </c>
      <c r="K103" s="25">
        <f t="shared" si="3"/>
        <v>0</v>
      </c>
      <c r="L103" s="1">
        <f>SUM(L63:L102)</f>
        <v>215067</v>
      </c>
      <c r="M103" s="1">
        <f t="shared" ref="M103:N103" si="4">SUM(M63:M102)</f>
        <v>101630</v>
      </c>
      <c r="N103" s="1">
        <f t="shared" si="4"/>
        <v>22500</v>
      </c>
      <c r="O103" s="25">
        <f t="shared" si="3"/>
        <v>13500</v>
      </c>
      <c r="P103" s="15">
        <f t="shared" si="3"/>
        <v>26600</v>
      </c>
      <c r="Q103" s="26">
        <f t="shared" si="3"/>
        <v>112030</v>
      </c>
      <c r="R103" s="25">
        <f t="shared" si="3"/>
        <v>0</v>
      </c>
      <c r="S103" s="15"/>
      <c r="T103" s="15">
        <f>SUM(T63:T102)</f>
        <v>0</v>
      </c>
      <c r="U103" s="26">
        <f>SUM(U63:U102)</f>
        <v>0</v>
      </c>
    </row>
    <row r="104" spans="1:21" s="37" customFormat="1" x14ac:dyDescent="0.2">
      <c r="A104" s="40" t="s">
        <v>91</v>
      </c>
      <c r="B104" s="43"/>
      <c r="C104" s="43"/>
      <c r="D104" s="43"/>
      <c r="E104" s="43"/>
      <c r="F104" s="43"/>
      <c r="G104" s="44"/>
      <c r="H104" s="45"/>
      <c r="I104" s="58"/>
      <c r="J104" s="46"/>
      <c r="K104" s="43"/>
      <c r="L104" s="45"/>
      <c r="M104" s="58"/>
      <c r="N104" s="46"/>
      <c r="O104" s="43"/>
      <c r="P104" s="55">
        <v>64872</v>
      </c>
      <c r="Q104" s="46">
        <v>64872</v>
      </c>
      <c r="R104" s="23"/>
      <c r="S104" s="56"/>
      <c r="T104" s="56"/>
      <c r="U104" s="24"/>
    </row>
    <row r="105" spans="1:21" s="37" customFormat="1" ht="25.5" x14ac:dyDescent="0.2">
      <c r="A105" s="72" t="s">
        <v>144</v>
      </c>
      <c r="B105" s="43"/>
      <c r="C105" s="43"/>
      <c r="D105" s="43">
        <v>19688.03</v>
      </c>
      <c r="E105" s="43"/>
      <c r="F105" s="43"/>
      <c r="G105" s="44"/>
      <c r="H105" s="45"/>
      <c r="I105" s="58"/>
      <c r="J105" s="46">
        <v>19738.099999999999</v>
      </c>
      <c r="K105" s="43"/>
      <c r="L105" s="45"/>
      <c r="M105" s="58"/>
      <c r="N105" s="46"/>
      <c r="O105" s="43"/>
      <c r="P105" s="55"/>
      <c r="Q105" s="46"/>
      <c r="R105" s="23"/>
      <c r="S105" s="56"/>
      <c r="T105" s="56"/>
      <c r="U105" s="24"/>
    </row>
    <row r="106" spans="1:21" s="8" customFormat="1" ht="38.25" x14ac:dyDescent="0.2">
      <c r="A106" s="100" t="s">
        <v>161</v>
      </c>
      <c r="B106" s="43"/>
      <c r="C106" s="43"/>
      <c r="D106" s="43"/>
      <c r="E106" s="43"/>
      <c r="F106" s="43"/>
      <c r="G106" s="44"/>
      <c r="H106" s="45"/>
      <c r="I106" s="58">
        <v>100</v>
      </c>
      <c r="J106" s="46"/>
      <c r="K106" s="43"/>
      <c r="L106" s="45"/>
      <c r="M106" s="58">
        <v>55000</v>
      </c>
      <c r="N106" s="58"/>
      <c r="O106" s="43"/>
      <c r="P106" s="55">
        <v>45900</v>
      </c>
      <c r="Q106" s="46"/>
      <c r="R106" s="43"/>
      <c r="S106" s="55"/>
      <c r="T106" s="55"/>
      <c r="U106" s="46">
        <v>100000</v>
      </c>
    </row>
    <row r="107" spans="1:21" x14ac:dyDescent="0.2">
      <c r="A107" s="20" t="s">
        <v>19</v>
      </c>
      <c r="B107" s="23"/>
      <c r="C107" s="23"/>
      <c r="D107" s="23"/>
      <c r="E107" s="23"/>
      <c r="F107" s="23"/>
      <c r="G107" s="6"/>
      <c r="H107" s="7">
        <v>41000</v>
      </c>
      <c r="I107" s="62"/>
      <c r="J107" s="32"/>
      <c r="K107" s="23"/>
      <c r="L107" s="6"/>
      <c r="M107" s="59"/>
      <c r="N107" s="24"/>
      <c r="O107" s="23"/>
      <c r="P107" s="56"/>
      <c r="Q107" s="24"/>
      <c r="R107" s="23"/>
      <c r="S107" s="56"/>
      <c r="T107" s="56"/>
      <c r="U107" s="24"/>
    </row>
    <row r="108" spans="1:21" x14ac:dyDescent="0.2">
      <c r="A108" s="20" t="s">
        <v>20</v>
      </c>
      <c r="B108" s="23"/>
      <c r="C108" s="23"/>
      <c r="D108" s="23"/>
      <c r="E108" s="23"/>
      <c r="F108" s="23"/>
      <c r="G108" s="6"/>
      <c r="H108" s="6">
        <v>115000</v>
      </c>
      <c r="I108" s="59"/>
      <c r="J108" s="24"/>
      <c r="K108" s="47"/>
      <c r="L108" s="6">
        <v>69416</v>
      </c>
      <c r="M108" s="59"/>
      <c r="N108" s="24"/>
      <c r="O108" s="23"/>
      <c r="P108" s="56"/>
      <c r="Q108" s="24"/>
      <c r="R108" s="23"/>
      <c r="S108" s="56"/>
      <c r="T108" s="56"/>
      <c r="U108" s="24"/>
    </row>
    <row r="109" spans="1:21" x14ac:dyDescent="0.2">
      <c r="A109" s="20" t="s">
        <v>21</v>
      </c>
      <c r="B109" s="23"/>
      <c r="C109" s="23"/>
      <c r="D109" s="23"/>
      <c r="E109" s="23"/>
      <c r="F109" s="23"/>
      <c r="G109" s="6"/>
      <c r="H109" s="6">
        <v>3500</v>
      </c>
      <c r="I109" s="59"/>
      <c r="J109" s="24"/>
      <c r="K109" s="47"/>
      <c r="L109" s="6">
        <v>15500</v>
      </c>
      <c r="M109" s="59"/>
      <c r="N109" s="24"/>
      <c r="O109" s="23"/>
      <c r="P109" s="56"/>
      <c r="Q109" s="24"/>
      <c r="R109" s="23"/>
      <c r="S109" s="56"/>
      <c r="T109" s="56"/>
      <c r="U109" s="24"/>
    </row>
    <row r="110" spans="1:21" x14ac:dyDescent="0.2">
      <c r="A110" s="20" t="s">
        <v>22</v>
      </c>
      <c r="B110" s="23"/>
      <c r="C110" s="23"/>
      <c r="D110" s="23"/>
      <c r="E110" s="23"/>
      <c r="F110" s="23"/>
      <c r="G110" s="6"/>
      <c r="H110" s="6">
        <f>1000+2500</f>
        <v>3500</v>
      </c>
      <c r="I110" s="59"/>
      <c r="J110" s="24"/>
      <c r="K110" s="23"/>
      <c r="L110" s="6">
        <f>32500-2500</f>
        <v>30000</v>
      </c>
      <c r="M110" s="59"/>
      <c r="N110" s="24"/>
      <c r="O110" s="23"/>
      <c r="P110" s="56"/>
      <c r="Q110" s="24"/>
      <c r="R110" s="23"/>
      <c r="S110" s="56"/>
      <c r="T110" s="56"/>
      <c r="U110" s="24"/>
    </row>
    <row r="111" spans="1:21" s="8" customFormat="1" x14ac:dyDescent="0.2">
      <c r="A111" s="17" t="s">
        <v>29</v>
      </c>
      <c r="B111" s="25">
        <f t="shared" ref="B111:R111" si="5">SUM(B104:B110)</f>
        <v>0</v>
      </c>
      <c r="C111" s="25">
        <f>SUM(C104:C110)</f>
        <v>0</v>
      </c>
      <c r="D111" s="25">
        <f t="shared" si="5"/>
        <v>19688.03</v>
      </c>
      <c r="E111" s="25">
        <f t="shared" si="5"/>
        <v>0</v>
      </c>
      <c r="F111" s="25">
        <f t="shared" si="5"/>
        <v>0</v>
      </c>
      <c r="G111" s="1">
        <f t="shared" si="5"/>
        <v>0</v>
      </c>
      <c r="H111" s="1">
        <f t="shared" si="5"/>
        <v>163000</v>
      </c>
      <c r="I111" s="60">
        <f t="shared" si="5"/>
        <v>100</v>
      </c>
      <c r="J111" s="63">
        <f t="shared" si="5"/>
        <v>19738.099999999999</v>
      </c>
      <c r="K111" s="25">
        <f t="shared" si="5"/>
        <v>0</v>
      </c>
      <c r="L111" s="1">
        <f t="shared" si="5"/>
        <v>114916</v>
      </c>
      <c r="M111" s="1">
        <f t="shared" si="5"/>
        <v>55000</v>
      </c>
      <c r="N111" s="26">
        <f t="shared" si="5"/>
        <v>0</v>
      </c>
      <c r="O111" s="25">
        <f t="shared" si="5"/>
        <v>0</v>
      </c>
      <c r="P111" s="15">
        <f t="shared" si="5"/>
        <v>110772</v>
      </c>
      <c r="Q111" s="26">
        <f t="shared" si="5"/>
        <v>64872</v>
      </c>
      <c r="R111" s="25">
        <f t="shared" si="5"/>
        <v>0</v>
      </c>
      <c r="S111" s="15"/>
      <c r="T111" s="15">
        <f>SUM(T104:T110)</f>
        <v>0</v>
      </c>
      <c r="U111" s="26">
        <f>SUM(U104:U110)</f>
        <v>100000</v>
      </c>
    </row>
    <row r="112" spans="1:21" s="37" customFormat="1" x14ac:dyDescent="0.2">
      <c r="A112" s="41" t="s">
        <v>109</v>
      </c>
      <c r="B112" s="43"/>
      <c r="C112" s="43"/>
      <c r="D112" s="43"/>
      <c r="E112" s="43"/>
      <c r="F112" s="43"/>
      <c r="G112" s="44"/>
      <c r="H112" s="45"/>
      <c r="I112" s="58"/>
      <c r="J112" s="46"/>
      <c r="K112" s="43"/>
      <c r="L112" s="45"/>
      <c r="M112" s="58"/>
      <c r="N112" s="46"/>
      <c r="O112" s="43"/>
      <c r="P112" s="55"/>
      <c r="Q112" s="46"/>
      <c r="R112" s="43"/>
      <c r="S112" s="55"/>
      <c r="T112" s="55"/>
      <c r="U112" s="46"/>
    </row>
    <row r="113" spans="1:21" s="37" customFormat="1" x14ac:dyDescent="0.2">
      <c r="A113" s="41" t="s">
        <v>110</v>
      </c>
      <c r="B113" s="43"/>
      <c r="C113" s="43"/>
      <c r="D113" s="43">
        <v>205.7</v>
      </c>
      <c r="E113" s="43"/>
      <c r="F113" s="43"/>
      <c r="G113" s="44"/>
      <c r="H113" s="45"/>
      <c r="I113" s="58">
        <f>13000+106.48</f>
        <v>13106.48</v>
      </c>
      <c r="J113" s="46">
        <v>9000</v>
      </c>
      <c r="K113" s="43"/>
      <c r="L113" s="45"/>
      <c r="M113" s="58">
        <v>30000</v>
      </c>
      <c r="N113" s="46">
        <v>27200</v>
      </c>
      <c r="O113" s="43"/>
      <c r="P113" s="55">
        <v>2276</v>
      </c>
      <c r="Q113" s="46">
        <v>9076</v>
      </c>
      <c r="R113" s="43"/>
      <c r="S113" s="55"/>
      <c r="T113" s="55"/>
      <c r="U113" s="46"/>
    </row>
    <row r="114" spans="1:21" s="8" customFormat="1" x14ac:dyDescent="0.2">
      <c r="A114" s="17" t="s">
        <v>32</v>
      </c>
      <c r="B114" s="25">
        <f t="shared" ref="B114:R114" si="6">SUM(B112:B113)</f>
        <v>0</v>
      </c>
      <c r="C114" s="25">
        <f t="shared" si="6"/>
        <v>0</v>
      </c>
      <c r="D114" s="25">
        <f t="shared" si="6"/>
        <v>205.7</v>
      </c>
      <c r="E114" s="25">
        <f t="shared" si="6"/>
        <v>0</v>
      </c>
      <c r="F114" s="25">
        <f t="shared" si="6"/>
        <v>0</v>
      </c>
      <c r="G114" s="1">
        <f t="shared" si="6"/>
        <v>0</v>
      </c>
      <c r="H114" s="1">
        <f t="shared" si="6"/>
        <v>0</v>
      </c>
      <c r="I114" s="60">
        <f t="shared" si="6"/>
        <v>13106.48</v>
      </c>
      <c r="J114" s="63">
        <f t="shared" si="6"/>
        <v>9000</v>
      </c>
      <c r="K114" s="25">
        <f t="shared" si="6"/>
        <v>0</v>
      </c>
      <c r="L114" s="1">
        <f t="shared" si="6"/>
        <v>0</v>
      </c>
      <c r="M114" s="1">
        <f t="shared" si="6"/>
        <v>30000</v>
      </c>
      <c r="N114" s="26">
        <f t="shared" si="6"/>
        <v>27200</v>
      </c>
      <c r="O114" s="25">
        <f t="shared" si="6"/>
        <v>0</v>
      </c>
      <c r="P114" s="15">
        <f t="shared" si="6"/>
        <v>2276</v>
      </c>
      <c r="Q114" s="26">
        <f t="shared" si="6"/>
        <v>9076</v>
      </c>
      <c r="R114" s="25">
        <f t="shared" si="6"/>
        <v>0</v>
      </c>
      <c r="S114" s="15"/>
      <c r="T114" s="15">
        <f>SUM(T112:T113)</f>
        <v>0</v>
      </c>
      <c r="U114" s="26">
        <f>SUM(U112:U113)</f>
        <v>0</v>
      </c>
    </row>
    <row r="115" spans="1:21" s="37" customFormat="1" x14ac:dyDescent="0.2">
      <c r="A115" s="42" t="s">
        <v>98</v>
      </c>
      <c r="B115" s="43"/>
      <c r="C115" s="43"/>
      <c r="D115" s="43"/>
      <c r="E115" s="43"/>
      <c r="F115" s="43"/>
      <c r="G115" s="44"/>
      <c r="H115" s="45"/>
      <c r="I115" s="58"/>
      <c r="J115" s="46"/>
      <c r="K115" s="43"/>
      <c r="L115" s="45"/>
      <c r="M115" s="58">
        <v>69500</v>
      </c>
      <c r="N115" s="46">
        <v>69500</v>
      </c>
      <c r="O115" s="43"/>
      <c r="P115" s="55"/>
      <c r="Q115" s="46"/>
      <c r="R115" s="43"/>
      <c r="S115" s="55"/>
      <c r="T115" s="55"/>
      <c r="U115" s="46"/>
    </row>
    <row r="116" spans="1:21" s="37" customFormat="1" ht="25.5" x14ac:dyDescent="0.2">
      <c r="A116" s="42" t="s">
        <v>99</v>
      </c>
      <c r="B116" s="43"/>
      <c r="C116" s="43"/>
      <c r="D116" s="43"/>
      <c r="E116" s="43"/>
      <c r="F116" s="43"/>
      <c r="G116" s="44"/>
      <c r="H116" s="45"/>
      <c r="I116" s="58"/>
      <c r="J116" s="46"/>
      <c r="K116" s="43"/>
      <c r="L116" s="45"/>
      <c r="M116" s="58">
        <v>14784</v>
      </c>
      <c r="N116" s="46"/>
      <c r="O116" s="43"/>
      <c r="P116" s="55"/>
      <c r="Q116" s="46">
        <v>14784</v>
      </c>
      <c r="R116" s="43"/>
      <c r="S116" s="55"/>
      <c r="T116" s="55"/>
      <c r="U116" s="46"/>
    </row>
    <row r="117" spans="1:21" s="37" customFormat="1" x14ac:dyDescent="0.2">
      <c r="A117" s="42" t="s">
        <v>100</v>
      </c>
      <c r="B117" s="43"/>
      <c r="C117" s="43"/>
      <c r="D117" s="43"/>
      <c r="E117" s="43"/>
      <c r="F117" s="43"/>
      <c r="G117" s="44"/>
      <c r="H117" s="45"/>
      <c r="I117" s="58"/>
      <c r="J117" s="46"/>
      <c r="K117" s="43"/>
      <c r="L117" s="45"/>
      <c r="M117" s="58">
        <v>88500</v>
      </c>
      <c r="N117" s="46">
        <v>88500</v>
      </c>
      <c r="O117" s="43"/>
      <c r="P117" s="55"/>
      <c r="Q117" s="46"/>
      <c r="R117" s="43"/>
      <c r="S117" s="55"/>
      <c r="T117" s="55"/>
      <c r="U117" s="46"/>
    </row>
    <row r="118" spans="1:21" x14ac:dyDescent="0.2">
      <c r="A118" s="40" t="s">
        <v>92</v>
      </c>
      <c r="B118" s="23"/>
      <c r="C118" s="23"/>
      <c r="D118" s="23"/>
      <c r="E118" s="23"/>
      <c r="F118" s="23"/>
      <c r="G118" s="6"/>
      <c r="H118" s="6"/>
      <c r="I118" s="59"/>
      <c r="J118" s="24"/>
      <c r="K118" s="23"/>
      <c r="L118" s="6"/>
      <c r="M118" s="59"/>
      <c r="N118" s="24"/>
      <c r="O118" s="23"/>
      <c r="P118" s="56">
        <v>141437</v>
      </c>
      <c r="Q118" s="24">
        <v>141437</v>
      </c>
      <c r="R118" s="23"/>
      <c r="S118" s="56"/>
      <c r="T118" s="56"/>
      <c r="U118" s="24"/>
    </row>
    <row r="119" spans="1:21" s="8" customFormat="1" x14ac:dyDescent="0.2">
      <c r="A119" s="17" t="s">
        <v>93</v>
      </c>
      <c r="B119" s="25">
        <f t="shared" ref="B119:R119" si="7">SUM(B115:B118)</f>
        <v>0</v>
      </c>
      <c r="C119" s="25">
        <f t="shared" si="7"/>
        <v>0</v>
      </c>
      <c r="D119" s="25">
        <f t="shared" si="7"/>
        <v>0</v>
      </c>
      <c r="E119" s="25">
        <f t="shared" si="7"/>
        <v>0</v>
      </c>
      <c r="F119" s="25">
        <f t="shared" si="7"/>
        <v>0</v>
      </c>
      <c r="G119" s="1">
        <f t="shared" si="7"/>
        <v>0</v>
      </c>
      <c r="H119" s="1">
        <f t="shared" si="7"/>
        <v>0</v>
      </c>
      <c r="I119" s="60">
        <f t="shared" si="7"/>
        <v>0</v>
      </c>
      <c r="J119" s="63">
        <f t="shared" si="7"/>
        <v>0</v>
      </c>
      <c r="K119" s="25">
        <f t="shared" si="7"/>
        <v>0</v>
      </c>
      <c r="L119" s="1">
        <f t="shared" si="7"/>
        <v>0</v>
      </c>
      <c r="M119" s="1">
        <f t="shared" si="7"/>
        <v>172784</v>
      </c>
      <c r="N119" s="26">
        <f t="shared" si="7"/>
        <v>158000</v>
      </c>
      <c r="O119" s="25">
        <f t="shared" si="7"/>
        <v>0</v>
      </c>
      <c r="P119" s="15">
        <f t="shared" si="7"/>
        <v>141437</v>
      </c>
      <c r="Q119" s="26">
        <f t="shared" si="7"/>
        <v>156221</v>
      </c>
      <c r="R119" s="25">
        <f t="shared" si="7"/>
        <v>0</v>
      </c>
      <c r="S119" s="15"/>
      <c r="T119" s="15">
        <f>SUM(T115:T118)</f>
        <v>0</v>
      </c>
      <c r="U119" s="26">
        <f>SUM(U115:U118)</f>
        <v>0</v>
      </c>
    </row>
    <row r="120" spans="1:21" s="37" customFormat="1" x14ac:dyDescent="0.2">
      <c r="A120" s="41" t="s">
        <v>111</v>
      </c>
      <c r="B120" s="43"/>
      <c r="C120" s="43"/>
      <c r="D120" s="43"/>
      <c r="E120" s="43"/>
      <c r="F120" s="43"/>
      <c r="G120" s="44"/>
      <c r="H120" s="45"/>
      <c r="I120" s="58"/>
      <c r="J120" s="46"/>
      <c r="K120" s="43"/>
      <c r="L120" s="89">
        <v>15000</v>
      </c>
      <c r="M120" s="58">
        <v>84500</v>
      </c>
      <c r="N120" s="46"/>
      <c r="O120" s="90">
        <v>20915</v>
      </c>
      <c r="P120" s="55">
        <v>113500</v>
      </c>
      <c r="Q120" s="46">
        <v>198000</v>
      </c>
      <c r="R120" s="43"/>
      <c r="S120" s="55"/>
      <c r="T120" s="55"/>
      <c r="U120" s="46"/>
    </row>
    <row r="121" spans="1:21" s="8" customFormat="1" x14ac:dyDescent="0.2">
      <c r="A121" s="17" t="s">
        <v>112</v>
      </c>
      <c r="B121" s="1">
        <f t="shared" ref="B121:U121" si="8">SUBTOTAL(9,B120)</f>
        <v>0</v>
      </c>
      <c r="C121" s="1">
        <f t="shared" si="8"/>
        <v>0</v>
      </c>
      <c r="D121" s="1">
        <f t="shared" si="8"/>
        <v>0</v>
      </c>
      <c r="E121" s="1">
        <f t="shared" si="8"/>
        <v>0</v>
      </c>
      <c r="F121" s="1">
        <f t="shared" si="8"/>
        <v>0</v>
      </c>
      <c r="G121" s="1">
        <f t="shared" si="8"/>
        <v>0</v>
      </c>
      <c r="H121" s="1">
        <f t="shared" si="8"/>
        <v>0</v>
      </c>
      <c r="I121" s="60">
        <f t="shared" si="8"/>
        <v>0</v>
      </c>
      <c r="J121" s="63">
        <f t="shared" si="8"/>
        <v>0</v>
      </c>
      <c r="K121" s="25">
        <f t="shared" si="8"/>
        <v>0</v>
      </c>
      <c r="L121" s="1">
        <f t="shared" si="8"/>
        <v>15000</v>
      </c>
      <c r="M121" s="1">
        <f t="shared" si="8"/>
        <v>84500</v>
      </c>
      <c r="N121" s="26">
        <f t="shared" si="8"/>
        <v>0</v>
      </c>
      <c r="O121" s="25">
        <f t="shared" si="8"/>
        <v>20915</v>
      </c>
      <c r="P121" s="15">
        <f>SUM(P120)</f>
        <v>113500</v>
      </c>
      <c r="Q121" s="26">
        <f t="shared" si="8"/>
        <v>198000</v>
      </c>
      <c r="R121" s="25">
        <f t="shared" si="8"/>
        <v>0</v>
      </c>
      <c r="S121" s="15"/>
      <c r="T121" s="15">
        <f>SUM(T120)</f>
        <v>0</v>
      </c>
      <c r="U121" s="26">
        <f t="shared" si="8"/>
        <v>0</v>
      </c>
    </row>
    <row r="122" spans="1:21" s="8" customFormat="1" ht="18.75" customHeight="1" x14ac:dyDescent="0.2">
      <c r="A122" s="73"/>
      <c r="B122" s="74">
        <f t="shared" ref="B122:R122" si="9">B121+B119+B114+B111+B103+B62+B49+B34</f>
        <v>0</v>
      </c>
      <c r="C122" s="74">
        <f t="shared" si="9"/>
        <v>0</v>
      </c>
      <c r="D122" s="74">
        <f t="shared" si="9"/>
        <v>312288.5</v>
      </c>
      <c r="E122" s="74">
        <f t="shared" si="9"/>
        <v>331976.3</v>
      </c>
      <c r="F122" s="74">
        <f t="shared" si="9"/>
        <v>199479.2</v>
      </c>
      <c r="G122" s="74">
        <f t="shared" si="9"/>
        <v>0</v>
      </c>
      <c r="H122" s="74">
        <f t="shared" si="9"/>
        <v>973010</v>
      </c>
      <c r="I122" s="74">
        <f t="shared" si="9"/>
        <v>707254.27</v>
      </c>
      <c r="J122" s="74">
        <f t="shared" si="9"/>
        <v>649792.14999999991</v>
      </c>
      <c r="K122" s="74">
        <f t="shared" si="9"/>
        <v>0</v>
      </c>
      <c r="L122" s="74">
        <f t="shared" si="9"/>
        <v>965899</v>
      </c>
      <c r="M122" s="74">
        <f t="shared" si="9"/>
        <v>886394.58</v>
      </c>
      <c r="N122" s="74">
        <f t="shared" si="9"/>
        <v>603814.99</v>
      </c>
      <c r="O122" s="74">
        <f t="shared" si="9"/>
        <v>262305</v>
      </c>
      <c r="P122" s="74">
        <f t="shared" si="9"/>
        <v>874250</v>
      </c>
      <c r="Q122" s="74">
        <f t="shared" si="9"/>
        <v>1426001</v>
      </c>
      <c r="R122" s="74">
        <f t="shared" si="9"/>
        <v>667334</v>
      </c>
      <c r="S122" s="75"/>
      <c r="T122" s="74">
        <f>T121+T119+T114+T111+T103+T62+T49+T34</f>
        <v>0</v>
      </c>
      <c r="U122" s="74">
        <f>U121+U119+U114+U111+U103+U62+U49+U34</f>
        <v>225615</v>
      </c>
    </row>
    <row r="123" spans="1:21" s="8" customFormat="1" x14ac:dyDescent="0.2">
      <c r="A123" s="2"/>
      <c r="B123" s="29"/>
      <c r="C123" s="29"/>
      <c r="D123" s="29"/>
      <c r="E123" s="29"/>
      <c r="F123" s="29"/>
      <c r="G123" s="3"/>
      <c r="H123" s="3"/>
      <c r="I123" s="3"/>
      <c r="J123" s="64"/>
      <c r="K123" s="29"/>
      <c r="L123" s="3"/>
      <c r="M123" s="3"/>
      <c r="N123" s="30"/>
      <c r="O123" s="29"/>
      <c r="P123" s="3"/>
      <c r="Q123" s="30"/>
      <c r="R123" s="29"/>
      <c r="S123" s="3"/>
      <c r="T123" s="3"/>
      <c r="U123" s="30"/>
    </row>
    <row r="124" spans="1:21" s="8" customFormat="1" ht="38.25" x14ac:dyDescent="0.2">
      <c r="A124" s="51" t="s">
        <v>137</v>
      </c>
      <c r="B124" s="66"/>
      <c r="C124" s="66"/>
      <c r="D124" s="66"/>
      <c r="E124" s="66"/>
      <c r="F124" s="66"/>
      <c r="G124" s="67"/>
      <c r="H124" s="67"/>
      <c r="I124" s="68"/>
      <c r="J124" s="69"/>
      <c r="K124" s="66"/>
      <c r="L124" s="67"/>
      <c r="M124" s="68"/>
      <c r="N124" s="69"/>
      <c r="O124" s="66"/>
      <c r="P124" s="70"/>
      <c r="Q124" s="69"/>
      <c r="R124" s="66"/>
      <c r="S124" s="70"/>
      <c r="T124" s="70"/>
      <c r="U124" s="69"/>
    </row>
    <row r="125" spans="1:21" s="8" customFormat="1" ht="38.25" x14ac:dyDescent="0.2">
      <c r="A125" s="52" t="s">
        <v>117</v>
      </c>
      <c r="B125" s="43"/>
      <c r="C125" s="43"/>
      <c r="D125" s="43">
        <v>4200.32</v>
      </c>
      <c r="E125" s="43">
        <v>0</v>
      </c>
      <c r="F125" s="43"/>
      <c r="G125" s="44"/>
      <c r="H125" s="45"/>
      <c r="I125" s="58"/>
      <c r="J125" s="46">
        <v>5354.55</v>
      </c>
      <c r="K125" s="43"/>
      <c r="L125" s="45"/>
      <c r="M125" s="58"/>
      <c r="N125" s="46"/>
      <c r="O125" s="43"/>
      <c r="P125" s="55"/>
      <c r="Q125" s="46"/>
      <c r="R125" s="43"/>
      <c r="S125" s="55"/>
      <c r="T125" s="55"/>
      <c r="U125" s="46"/>
    </row>
    <row r="126" spans="1:21" s="8" customFormat="1" ht="25.5" x14ac:dyDescent="0.2">
      <c r="A126" s="52" t="s">
        <v>118</v>
      </c>
      <c r="B126" s="43"/>
      <c r="C126" s="43"/>
      <c r="D126" s="43">
        <v>12485.01</v>
      </c>
      <c r="E126" s="43"/>
      <c r="F126" s="43"/>
      <c r="G126" s="44"/>
      <c r="H126" s="45"/>
      <c r="I126" s="58">
        <v>1198.5</v>
      </c>
      <c r="J126" s="46">
        <v>13683.76</v>
      </c>
      <c r="K126" s="43"/>
      <c r="L126" s="45"/>
      <c r="M126" s="58"/>
      <c r="N126" s="46"/>
      <c r="O126" s="43"/>
      <c r="P126" s="55"/>
      <c r="Q126" s="46"/>
      <c r="R126" s="43"/>
      <c r="S126" s="55"/>
      <c r="T126" s="55"/>
      <c r="U126" s="46"/>
    </row>
    <row r="127" spans="1:21" s="8" customFormat="1" ht="25.5" x14ac:dyDescent="0.2">
      <c r="A127" s="52" t="s">
        <v>119</v>
      </c>
      <c r="B127" s="43"/>
      <c r="C127" s="43"/>
      <c r="D127" s="43">
        <v>731.76</v>
      </c>
      <c r="E127" s="43"/>
      <c r="F127" s="43"/>
      <c r="G127" s="44"/>
      <c r="H127" s="45"/>
      <c r="I127" s="58">
        <v>11.66</v>
      </c>
      <c r="J127" s="46"/>
      <c r="K127" s="43"/>
      <c r="L127" s="45"/>
      <c r="M127" s="58"/>
      <c r="N127" s="46">
        <v>743.42</v>
      </c>
      <c r="O127" s="43"/>
      <c r="P127" s="55"/>
      <c r="Q127" s="46"/>
      <c r="R127" s="43"/>
      <c r="S127" s="55"/>
      <c r="T127" s="55"/>
      <c r="U127" s="46"/>
    </row>
    <row r="128" spans="1:21" s="8" customFormat="1" ht="25.5" x14ac:dyDescent="0.2">
      <c r="A128" s="53" t="s">
        <v>120</v>
      </c>
      <c r="B128" s="43"/>
      <c r="C128" s="43"/>
      <c r="D128" s="43">
        <v>40663.625010000003</v>
      </c>
      <c r="E128" s="43"/>
      <c r="F128" s="43"/>
      <c r="G128" s="44"/>
      <c r="H128" s="45"/>
      <c r="I128" s="58">
        <v>5605.38</v>
      </c>
      <c r="J128" s="46">
        <v>46269</v>
      </c>
      <c r="K128" s="43"/>
      <c r="L128" s="45"/>
      <c r="M128" s="58"/>
      <c r="N128" s="46"/>
      <c r="O128" s="43"/>
      <c r="P128" s="55"/>
      <c r="Q128" s="46"/>
      <c r="R128" s="43"/>
      <c r="S128" s="55"/>
      <c r="T128" s="55"/>
      <c r="U128" s="46"/>
    </row>
    <row r="129" spans="1:21" s="8" customFormat="1" ht="25.5" x14ac:dyDescent="0.2">
      <c r="A129" s="53" t="s">
        <v>121</v>
      </c>
      <c r="B129" s="43"/>
      <c r="C129" s="43"/>
      <c r="D129" s="43">
        <v>0</v>
      </c>
      <c r="E129" s="43"/>
      <c r="F129" s="43"/>
      <c r="G129" s="44"/>
      <c r="H129" s="45"/>
      <c r="I129" s="58">
        <f>29294+22500</f>
        <v>51794</v>
      </c>
      <c r="J129" s="46"/>
      <c r="K129" s="43"/>
      <c r="L129" s="45"/>
      <c r="M129" s="58"/>
      <c r="N129" s="46">
        <v>51794</v>
      </c>
      <c r="O129" s="43"/>
      <c r="P129" s="55"/>
      <c r="Q129" s="46"/>
      <c r="R129" s="43"/>
      <c r="S129" s="55"/>
      <c r="T129" s="55"/>
      <c r="U129" s="46"/>
    </row>
    <row r="130" spans="1:21" s="8" customFormat="1" ht="25.5" x14ac:dyDescent="0.2">
      <c r="A130" s="53" t="s">
        <v>122</v>
      </c>
      <c r="B130" s="43"/>
      <c r="C130" s="43"/>
      <c r="D130" s="43"/>
      <c r="E130" s="43"/>
      <c r="F130" s="43"/>
      <c r="G130" s="44"/>
      <c r="H130" s="45"/>
      <c r="I130" s="58"/>
      <c r="J130" s="46"/>
      <c r="K130" s="43"/>
      <c r="L130" s="45"/>
      <c r="M130" s="58"/>
      <c r="N130" s="46"/>
      <c r="O130" s="43"/>
      <c r="P130" s="55"/>
      <c r="Q130" s="46"/>
      <c r="R130" s="43"/>
      <c r="S130" s="55"/>
      <c r="T130" s="55"/>
      <c r="U130" s="46"/>
    </row>
    <row r="131" spans="1:21" s="8" customFormat="1" ht="25.5" x14ac:dyDescent="0.2">
      <c r="A131" s="53" t="s">
        <v>123</v>
      </c>
      <c r="B131" s="43"/>
      <c r="C131" s="43"/>
      <c r="D131" s="43"/>
      <c r="E131" s="43"/>
      <c r="F131" s="43"/>
      <c r="G131" s="44"/>
      <c r="H131" s="45"/>
      <c r="I131" s="58"/>
      <c r="J131" s="46"/>
      <c r="K131" s="43"/>
      <c r="L131" s="45"/>
      <c r="M131" s="58"/>
      <c r="N131" s="46"/>
      <c r="O131" s="43"/>
      <c r="P131" s="55"/>
      <c r="Q131" s="46"/>
      <c r="R131" s="43"/>
      <c r="S131" s="55"/>
      <c r="T131" s="55"/>
      <c r="U131" s="46"/>
    </row>
    <row r="132" spans="1:21" s="8" customFormat="1" ht="25.5" x14ac:dyDescent="0.2">
      <c r="A132" s="53" t="s">
        <v>124</v>
      </c>
      <c r="B132" s="43"/>
      <c r="C132" s="43"/>
      <c r="D132" s="43"/>
      <c r="E132" s="43"/>
      <c r="F132" s="43"/>
      <c r="G132" s="44"/>
      <c r="H132" s="45"/>
      <c r="I132" s="58"/>
      <c r="J132" s="46"/>
      <c r="K132" s="43"/>
      <c r="L132" s="45"/>
      <c r="M132" s="58"/>
      <c r="N132" s="46"/>
      <c r="O132" s="43"/>
      <c r="P132" s="55"/>
      <c r="Q132" s="46"/>
      <c r="R132" s="43"/>
      <c r="S132" s="55"/>
      <c r="T132" s="55"/>
      <c r="U132" s="46"/>
    </row>
    <row r="133" spans="1:21" s="8" customFormat="1" ht="25.5" x14ac:dyDescent="0.2">
      <c r="A133" s="53" t="s">
        <v>125</v>
      </c>
      <c r="B133" s="43"/>
      <c r="C133" s="43"/>
      <c r="D133" s="43"/>
      <c r="E133" s="43"/>
      <c r="F133" s="43"/>
      <c r="G133" s="44"/>
      <c r="H133" s="45"/>
      <c r="I133" s="58"/>
      <c r="J133" s="46"/>
      <c r="K133" s="43"/>
      <c r="L133" s="45"/>
      <c r="M133" s="58"/>
      <c r="N133" s="46"/>
      <c r="O133" s="43"/>
      <c r="P133" s="55"/>
      <c r="Q133" s="46"/>
      <c r="R133" s="43"/>
      <c r="S133" s="55"/>
      <c r="T133" s="55"/>
      <c r="U133" s="46"/>
    </row>
    <row r="134" spans="1:21" s="8" customFormat="1" ht="25.5" x14ac:dyDescent="0.2">
      <c r="A134" s="53" t="s">
        <v>126</v>
      </c>
      <c r="B134" s="43"/>
      <c r="C134" s="43"/>
      <c r="D134" s="43"/>
      <c r="E134" s="43"/>
      <c r="F134" s="43"/>
      <c r="G134" s="44"/>
      <c r="H134" s="45"/>
      <c r="I134" s="58"/>
      <c r="J134" s="46"/>
      <c r="K134" s="43"/>
      <c r="L134" s="45"/>
      <c r="M134" s="58"/>
      <c r="N134" s="46"/>
      <c r="O134" s="43"/>
      <c r="P134" s="55"/>
      <c r="Q134" s="46"/>
      <c r="R134" s="43"/>
      <c r="S134" s="55"/>
      <c r="T134" s="55"/>
      <c r="U134" s="46"/>
    </row>
    <row r="135" spans="1:21" s="8" customFormat="1" ht="38.25" x14ac:dyDescent="0.2">
      <c r="A135" s="53" t="s">
        <v>127</v>
      </c>
      <c r="B135" s="43"/>
      <c r="C135" s="43"/>
      <c r="D135" s="43"/>
      <c r="E135" s="43"/>
      <c r="F135" s="43"/>
      <c r="G135" s="44"/>
      <c r="H135" s="45"/>
      <c r="I135" s="58"/>
      <c r="J135" s="46"/>
      <c r="K135" s="43"/>
      <c r="L135" s="45"/>
      <c r="M135" s="58"/>
      <c r="N135" s="46"/>
      <c r="O135" s="43"/>
      <c r="P135" s="55"/>
      <c r="Q135" s="46"/>
      <c r="R135" s="43"/>
      <c r="S135" s="55"/>
      <c r="T135" s="55"/>
      <c r="U135" s="46"/>
    </row>
    <row r="136" spans="1:21" s="8" customFormat="1" ht="25.5" x14ac:dyDescent="0.2">
      <c r="A136" s="54" t="s">
        <v>128</v>
      </c>
      <c r="B136" s="43"/>
      <c r="C136" s="43"/>
      <c r="D136" s="43"/>
      <c r="E136" s="43"/>
      <c r="F136" s="43"/>
      <c r="G136" s="44"/>
      <c r="H136" s="45"/>
      <c r="I136" s="58"/>
      <c r="J136" s="46"/>
      <c r="K136" s="43"/>
      <c r="L136" s="45"/>
      <c r="M136" s="58"/>
      <c r="N136" s="46"/>
      <c r="O136" s="43"/>
      <c r="P136" s="55"/>
      <c r="Q136" s="46"/>
      <c r="R136" s="43"/>
      <c r="S136" s="55"/>
      <c r="T136" s="55"/>
      <c r="U136" s="46"/>
    </row>
    <row r="137" spans="1:21" s="8" customFormat="1" x14ac:dyDescent="0.2">
      <c r="A137" s="50" t="s">
        <v>129</v>
      </c>
      <c r="B137" s="43"/>
      <c r="C137" s="43"/>
      <c r="D137" s="43">
        <v>0</v>
      </c>
      <c r="E137" s="43"/>
      <c r="F137" s="43"/>
      <c r="G137" s="44"/>
      <c r="H137" s="45"/>
      <c r="I137" s="58"/>
      <c r="J137" s="46"/>
      <c r="K137" s="43"/>
      <c r="L137" s="45"/>
      <c r="M137" s="58"/>
      <c r="N137" s="46"/>
      <c r="O137" s="43"/>
      <c r="P137" s="55"/>
      <c r="Q137" s="46"/>
      <c r="R137" s="43"/>
      <c r="S137" s="55"/>
      <c r="T137" s="55"/>
      <c r="U137" s="46"/>
    </row>
    <row r="138" spans="1:21" s="8" customFormat="1" x14ac:dyDescent="0.2">
      <c r="A138" s="50" t="s">
        <v>130</v>
      </c>
      <c r="B138" s="43"/>
      <c r="C138" s="43"/>
      <c r="D138" s="43">
        <v>24827.701499999999</v>
      </c>
      <c r="E138" s="43">
        <v>24827.701499999999</v>
      </c>
      <c r="F138" s="43"/>
      <c r="G138" s="44"/>
      <c r="H138" s="45"/>
      <c r="I138" s="58"/>
      <c r="J138" s="46"/>
      <c r="K138" s="43"/>
      <c r="L138" s="45"/>
      <c r="M138" s="58"/>
      <c r="N138" s="46"/>
      <c r="O138" s="43"/>
      <c r="P138" s="55"/>
      <c r="Q138" s="46"/>
      <c r="R138" s="43"/>
      <c r="S138" s="55"/>
      <c r="T138" s="55"/>
      <c r="U138" s="46"/>
    </row>
    <row r="139" spans="1:21" s="8" customFormat="1" x14ac:dyDescent="0.2">
      <c r="A139" s="50" t="s">
        <v>131</v>
      </c>
      <c r="B139" s="43"/>
      <c r="C139" s="43"/>
      <c r="D139" s="43">
        <v>27000</v>
      </c>
      <c r="E139" s="43"/>
      <c r="F139" s="43"/>
      <c r="G139" s="44"/>
      <c r="H139" s="45"/>
      <c r="I139" s="58"/>
      <c r="J139" s="46">
        <v>27000</v>
      </c>
      <c r="K139" s="43"/>
      <c r="L139" s="45"/>
      <c r="M139" s="58"/>
      <c r="N139" s="46"/>
      <c r="O139" s="43"/>
      <c r="P139" s="55"/>
      <c r="Q139" s="46"/>
      <c r="R139" s="43"/>
      <c r="S139" s="55"/>
      <c r="T139" s="55"/>
      <c r="U139" s="46"/>
    </row>
    <row r="140" spans="1:21" s="8" customFormat="1" x14ac:dyDescent="0.2">
      <c r="A140" s="50" t="s">
        <v>132</v>
      </c>
      <c r="B140" s="43"/>
      <c r="C140" s="43"/>
      <c r="D140" s="43">
        <v>0</v>
      </c>
      <c r="E140" s="43">
        <v>24350.584500000001</v>
      </c>
      <c r="F140" s="43"/>
      <c r="G140" s="44"/>
      <c r="H140" s="45"/>
      <c r="I140" s="58"/>
      <c r="J140" s="46"/>
      <c r="K140" s="43"/>
      <c r="L140" s="45"/>
      <c r="M140" s="58"/>
      <c r="N140" s="46"/>
      <c r="O140" s="43"/>
      <c r="P140" s="55"/>
      <c r="Q140" s="46"/>
      <c r="R140" s="43"/>
      <c r="S140" s="55"/>
      <c r="T140" s="55"/>
      <c r="U140" s="46"/>
    </row>
    <row r="141" spans="1:21" s="8" customFormat="1" x14ac:dyDescent="0.2">
      <c r="A141" s="50" t="s">
        <v>133</v>
      </c>
      <c r="B141" s="43"/>
      <c r="C141" s="43"/>
      <c r="D141" s="43">
        <v>10219.720499999999</v>
      </c>
      <c r="E141" s="43"/>
      <c r="F141" s="43"/>
      <c r="G141" s="44"/>
      <c r="H141" s="45"/>
      <c r="I141" s="58"/>
      <c r="J141" s="46">
        <v>10351</v>
      </c>
      <c r="K141" s="43"/>
      <c r="L141" s="45"/>
      <c r="M141" s="58"/>
      <c r="N141" s="46"/>
      <c r="O141" s="43"/>
      <c r="P141" s="55"/>
      <c r="Q141" s="46"/>
      <c r="R141" s="43"/>
      <c r="S141" s="55"/>
      <c r="T141" s="55"/>
      <c r="U141" s="46"/>
    </row>
    <row r="142" spans="1:21" s="8" customFormat="1" x14ac:dyDescent="0.2">
      <c r="A142" s="50" t="s">
        <v>134</v>
      </c>
      <c r="B142" s="43"/>
      <c r="C142" s="43"/>
      <c r="D142" s="43">
        <v>0</v>
      </c>
      <c r="E142" s="43"/>
      <c r="F142" s="43"/>
      <c r="G142" s="44"/>
      <c r="H142" s="45"/>
      <c r="I142" s="58">
        <v>20169</v>
      </c>
      <c r="J142" s="46">
        <v>20169</v>
      </c>
      <c r="K142" s="43"/>
      <c r="L142" s="45"/>
      <c r="M142" s="58"/>
      <c r="N142" s="46"/>
      <c r="O142" s="43"/>
      <c r="P142" s="55"/>
      <c r="Q142" s="46"/>
      <c r="R142" s="43"/>
      <c r="S142" s="55"/>
      <c r="T142" s="55"/>
      <c r="U142" s="46"/>
    </row>
    <row r="143" spans="1:21" s="8" customFormat="1" ht="38.25" x14ac:dyDescent="0.2">
      <c r="A143" s="54" t="s">
        <v>135</v>
      </c>
      <c r="B143" s="43"/>
      <c r="C143" s="43"/>
      <c r="D143" s="43"/>
      <c r="E143" s="43"/>
      <c r="F143" s="43"/>
      <c r="G143" s="44"/>
      <c r="H143" s="45"/>
      <c r="I143" s="58"/>
      <c r="J143" s="46"/>
      <c r="K143" s="43"/>
      <c r="L143" s="45"/>
      <c r="M143" s="58"/>
      <c r="N143" s="46"/>
      <c r="O143" s="43"/>
      <c r="P143" s="55"/>
      <c r="Q143" s="46"/>
      <c r="R143" s="43"/>
      <c r="S143" s="55"/>
      <c r="T143" s="55"/>
      <c r="U143" s="46"/>
    </row>
    <row r="144" spans="1:21" s="8" customFormat="1" x14ac:dyDescent="0.2">
      <c r="A144" s="50" t="s">
        <v>130</v>
      </c>
      <c r="B144" s="43"/>
      <c r="C144" s="43"/>
      <c r="D144" s="43">
        <v>2471.8014000000003</v>
      </c>
      <c r="E144" s="43"/>
      <c r="F144" s="43"/>
      <c r="G144" s="44"/>
      <c r="H144" s="45"/>
      <c r="I144" s="58">
        <v>5194.21</v>
      </c>
      <c r="J144" s="46">
        <v>7666</v>
      </c>
      <c r="K144" s="43"/>
      <c r="L144" s="45"/>
      <c r="M144" s="58"/>
      <c r="N144" s="46"/>
      <c r="O144" s="43"/>
      <c r="P144" s="55"/>
      <c r="Q144" s="46"/>
      <c r="R144" s="43"/>
      <c r="S144" s="55"/>
      <c r="T144" s="55"/>
      <c r="U144" s="46"/>
    </row>
    <row r="145" spans="1:21" s="8" customFormat="1" x14ac:dyDescent="0.2">
      <c r="A145" s="50" t="s">
        <v>131</v>
      </c>
      <c r="B145" s="43"/>
      <c r="C145" s="43"/>
      <c r="D145" s="43">
        <v>5671.7503100000004</v>
      </c>
      <c r="E145" s="43"/>
      <c r="F145" s="43"/>
      <c r="G145" s="44"/>
      <c r="H145" s="45"/>
      <c r="I145" s="58">
        <v>5562.25</v>
      </c>
      <c r="J145" s="46">
        <v>11234</v>
      </c>
      <c r="K145" s="43"/>
      <c r="L145" s="45"/>
      <c r="M145" s="58"/>
      <c r="N145" s="46"/>
      <c r="O145" s="43"/>
      <c r="P145" s="55"/>
      <c r="Q145" s="46"/>
      <c r="R145" s="43"/>
      <c r="S145" s="55"/>
      <c r="T145" s="55"/>
      <c r="U145" s="46"/>
    </row>
    <row r="146" spans="1:21" s="8" customFormat="1" x14ac:dyDescent="0.2">
      <c r="A146" s="50" t="s">
        <v>132</v>
      </c>
      <c r="B146" s="43"/>
      <c r="C146" s="43"/>
      <c r="D146" s="43">
        <v>6694.4742200000001</v>
      </c>
      <c r="E146" s="43">
        <v>1111.8689999999999</v>
      </c>
      <c r="F146" s="43"/>
      <c r="G146" s="44"/>
      <c r="H146" s="45"/>
      <c r="I146" s="58">
        <v>3739.5</v>
      </c>
      <c r="J146" s="46">
        <v>9432</v>
      </c>
      <c r="K146" s="43"/>
      <c r="L146" s="45"/>
      <c r="M146" s="58"/>
      <c r="N146" s="46"/>
      <c r="O146" s="43"/>
      <c r="P146" s="55"/>
      <c r="Q146" s="46"/>
      <c r="R146" s="43"/>
      <c r="S146" s="55"/>
      <c r="T146" s="55"/>
      <c r="U146" s="46"/>
    </row>
    <row r="147" spans="1:21" s="8" customFormat="1" x14ac:dyDescent="0.2">
      <c r="A147" s="50" t="s">
        <v>133</v>
      </c>
      <c r="B147" s="43"/>
      <c r="C147" s="43"/>
      <c r="D147" s="43">
        <v>59.442999999999998</v>
      </c>
      <c r="E147" s="43"/>
      <c r="F147" s="43"/>
      <c r="G147" s="44"/>
      <c r="H147" s="45"/>
      <c r="I147" s="58">
        <v>8361.56</v>
      </c>
      <c r="J147" s="46">
        <v>8421</v>
      </c>
      <c r="K147" s="43"/>
      <c r="L147" s="45"/>
      <c r="M147" s="58"/>
      <c r="N147" s="46"/>
      <c r="O147" s="43"/>
      <c r="P147" s="55"/>
      <c r="Q147" s="46"/>
      <c r="R147" s="43"/>
      <c r="S147" s="55"/>
      <c r="T147" s="55"/>
      <c r="U147" s="46"/>
    </row>
    <row r="148" spans="1:21" s="8" customFormat="1" x14ac:dyDescent="0.2">
      <c r="A148" s="50" t="s">
        <v>134</v>
      </c>
      <c r="B148" s="43"/>
      <c r="C148" s="43"/>
      <c r="D148" s="43">
        <v>0</v>
      </c>
      <c r="E148" s="43"/>
      <c r="F148" s="43"/>
      <c r="G148" s="44"/>
      <c r="H148" s="45"/>
      <c r="I148" s="58">
        <v>9873</v>
      </c>
      <c r="J148" s="46">
        <v>9873</v>
      </c>
      <c r="K148" s="43"/>
      <c r="L148" s="45"/>
      <c r="M148" s="58"/>
      <c r="N148" s="46"/>
      <c r="O148" s="43"/>
      <c r="P148" s="55"/>
      <c r="Q148" s="46"/>
      <c r="R148" s="43"/>
      <c r="S148" s="55"/>
      <c r="T148" s="55"/>
      <c r="U148" s="46"/>
    </row>
    <row r="149" spans="1:21" s="8" customFormat="1" ht="25.5" x14ac:dyDescent="0.2">
      <c r="A149" s="53" t="s">
        <v>136</v>
      </c>
      <c r="B149" s="43"/>
      <c r="C149" s="43"/>
      <c r="D149" s="43">
        <v>13583.414140000001</v>
      </c>
      <c r="E149" s="43"/>
      <c r="F149" s="43"/>
      <c r="G149" s="44"/>
      <c r="H149" s="45"/>
      <c r="I149" s="96">
        <f>3516.58-3516.58</f>
        <v>0</v>
      </c>
      <c r="J149" s="97">
        <f>17100-3516.58</f>
        <v>13583.42</v>
      </c>
      <c r="K149" s="43"/>
      <c r="L149" s="45"/>
      <c r="M149" s="58"/>
      <c r="N149" s="46"/>
      <c r="O149" s="43"/>
      <c r="P149" s="55"/>
      <c r="Q149" s="46"/>
      <c r="R149" s="43"/>
      <c r="S149" s="55"/>
      <c r="T149" s="55"/>
      <c r="U149" s="46"/>
    </row>
    <row r="150" spans="1:21" s="8" customFormat="1" ht="25.5" x14ac:dyDescent="0.2">
      <c r="A150" s="100" t="s">
        <v>153</v>
      </c>
      <c r="B150" s="43"/>
      <c r="C150" s="43"/>
      <c r="D150" s="43"/>
      <c r="E150" s="43"/>
      <c r="F150" s="43"/>
      <c r="G150" s="44"/>
      <c r="H150" s="45"/>
      <c r="I150" s="96">
        <v>5053.58</v>
      </c>
      <c r="J150" s="46"/>
      <c r="K150" s="43"/>
      <c r="L150" s="45"/>
      <c r="M150" s="58"/>
      <c r="N150" s="58">
        <v>5053.5730000000003</v>
      </c>
      <c r="O150" s="43"/>
      <c r="P150" s="55"/>
      <c r="Q150" s="46"/>
      <c r="R150" s="43"/>
      <c r="S150" s="55"/>
      <c r="T150" s="55"/>
      <c r="U150" s="46"/>
    </row>
    <row r="151" spans="1:21" s="8" customFormat="1" ht="25.5" x14ac:dyDescent="0.2">
      <c r="A151" s="100" t="s">
        <v>154</v>
      </c>
      <c r="B151" s="43"/>
      <c r="C151" s="43"/>
      <c r="D151" s="43"/>
      <c r="E151" s="43"/>
      <c r="F151" s="43"/>
      <c r="G151" s="44"/>
      <c r="H151" s="45"/>
      <c r="I151" s="96">
        <v>5071.6099999999997</v>
      </c>
      <c r="J151" s="46"/>
      <c r="K151" s="43"/>
      <c r="L151" s="45"/>
      <c r="M151" s="58"/>
      <c r="N151" s="58">
        <v>5071.6019999999999</v>
      </c>
      <c r="O151" s="43"/>
      <c r="P151" s="55"/>
      <c r="Q151" s="46"/>
      <c r="R151" s="43"/>
      <c r="S151" s="55"/>
      <c r="T151" s="55"/>
      <c r="U151" s="46"/>
    </row>
    <row r="152" spans="1:21" s="8" customFormat="1" x14ac:dyDescent="0.2">
      <c r="A152" s="17" t="s">
        <v>138</v>
      </c>
      <c r="B152" s="25">
        <f t="shared" ref="B152:U152" si="10">SUM(B124:B151)</f>
        <v>0</v>
      </c>
      <c r="C152" s="25">
        <f t="shared" si="10"/>
        <v>0</v>
      </c>
      <c r="D152" s="25">
        <f t="shared" si="10"/>
        <v>148609.02007999999</v>
      </c>
      <c r="E152" s="25">
        <f t="shared" si="10"/>
        <v>50290.154999999999</v>
      </c>
      <c r="F152" s="25">
        <f t="shared" si="10"/>
        <v>0</v>
      </c>
      <c r="G152" s="25">
        <f t="shared" si="10"/>
        <v>0</v>
      </c>
      <c r="H152" s="25">
        <f t="shared" si="10"/>
        <v>0</v>
      </c>
      <c r="I152" s="25">
        <f t="shared" si="10"/>
        <v>121634.25000000001</v>
      </c>
      <c r="J152" s="25">
        <f t="shared" si="10"/>
        <v>183036.73</v>
      </c>
      <c r="K152" s="25">
        <f t="shared" si="10"/>
        <v>0</v>
      </c>
      <c r="L152" s="25">
        <f t="shared" si="10"/>
        <v>0</v>
      </c>
      <c r="M152" s="25">
        <f t="shared" si="10"/>
        <v>0</v>
      </c>
      <c r="N152" s="25">
        <f t="shared" si="10"/>
        <v>62662.595000000001</v>
      </c>
      <c r="O152" s="25">
        <f t="shared" si="10"/>
        <v>0</v>
      </c>
      <c r="P152" s="25">
        <f t="shared" si="10"/>
        <v>0</v>
      </c>
      <c r="Q152" s="25">
        <f t="shared" si="10"/>
        <v>0</v>
      </c>
      <c r="R152" s="25">
        <f t="shared" si="10"/>
        <v>0</v>
      </c>
      <c r="S152" s="25">
        <f t="shared" si="10"/>
        <v>0</v>
      </c>
      <c r="T152" s="25">
        <f t="shared" si="10"/>
        <v>0</v>
      </c>
      <c r="U152" s="25">
        <f t="shared" si="10"/>
        <v>0</v>
      </c>
    </row>
    <row r="153" spans="1:21" s="8" customFormat="1" x14ac:dyDescent="0.2">
      <c r="A153" s="2"/>
      <c r="B153" s="29"/>
      <c r="C153" s="29"/>
      <c r="D153" s="29"/>
      <c r="E153" s="29"/>
      <c r="F153" s="29"/>
      <c r="G153" s="3"/>
      <c r="H153" s="3"/>
      <c r="I153" s="3"/>
      <c r="J153" s="64"/>
      <c r="K153" s="29"/>
      <c r="L153" s="3"/>
      <c r="M153" s="3"/>
      <c r="N153" s="30"/>
      <c r="O153" s="29"/>
      <c r="P153" s="3"/>
      <c r="Q153" s="30"/>
      <c r="R153" s="29"/>
      <c r="S153" s="3"/>
      <c r="T153" s="3"/>
      <c r="U153" s="30"/>
    </row>
    <row r="154" spans="1:21" s="8" customFormat="1" ht="13.5" thickBot="1" x14ac:dyDescent="0.25">
      <c r="A154" s="13" t="s">
        <v>6</v>
      </c>
      <c r="B154" s="48">
        <v>0</v>
      </c>
      <c r="C154" s="48">
        <v>484254.09123000002</v>
      </c>
      <c r="D154" s="48">
        <f t="shared" ref="D154:U154" si="11">SUM(D152,D121,D119,D114,D111,D103,D62,D49,D34)</f>
        <v>460897.52007999999</v>
      </c>
      <c r="E154" s="48">
        <f t="shared" si="11"/>
        <v>382266.45500000002</v>
      </c>
      <c r="F154" s="48">
        <f t="shared" si="11"/>
        <v>199479.2</v>
      </c>
      <c r="G154" s="48">
        <f t="shared" si="11"/>
        <v>0</v>
      </c>
      <c r="H154" s="48">
        <f t="shared" si="11"/>
        <v>973010</v>
      </c>
      <c r="I154" s="48">
        <f t="shared" si="11"/>
        <v>828888.52</v>
      </c>
      <c r="J154" s="48">
        <f t="shared" si="11"/>
        <v>832828.88</v>
      </c>
      <c r="K154" s="48">
        <f t="shared" si="11"/>
        <v>0</v>
      </c>
      <c r="L154" s="48">
        <f t="shared" si="11"/>
        <v>965899</v>
      </c>
      <c r="M154" s="48">
        <f t="shared" si="11"/>
        <v>886394.58</v>
      </c>
      <c r="N154" s="48">
        <f t="shared" si="11"/>
        <v>666477.58499999996</v>
      </c>
      <c r="O154" s="48">
        <f t="shared" si="11"/>
        <v>262305</v>
      </c>
      <c r="P154" s="48">
        <f t="shared" si="11"/>
        <v>874250</v>
      </c>
      <c r="Q154" s="48">
        <f t="shared" si="11"/>
        <v>1426001</v>
      </c>
      <c r="R154" s="48">
        <f t="shared" si="11"/>
        <v>667334</v>
      </c>
      <c r="S154" s="48">
        <f t="shared" si="11"/>
        <v>0</v>
      </c>
      <c r="T154" s="48">
        <f t="shared" si="11"/>
        <v>0</v>
      </c>
      <c r="U154" s="48">
        <f t="shared" si="11"/>
        <v>225615</v>
      </c>
    </row>
    <row r="156" spans="1:21" x14ac:dyDescent="0.2">
      <c r="B156" s="4">
        <v>2019</v>
      </c>
      <c r="C156" s="4">
        <v>2020</v>
      </c>
      <c r="D156" s="4">
        <v>2021</v>
      </c>
      <c r="E156" s="4">
        <v>2022</v>
      </c>
      <c r="F156" s="4">
        <v>2023</v>
      </c>
      <c r="G156" s="4">
        <v>2024</v>
      </c>
      <c r="H156" s="4" t="s">
        <v>146</v>
      </c>
    </row>
    <row r="157" spans="1:21" x14ac:dyDescent="0.2">
      <c r="A157" s="49" t="s">
        <v>33</v>
      </c>
      <c r="B157" s="10"/>
      <c r="C157" s="10"/>
      <c r="D157" s="10">
        <f>F154</f>
        <v>199479.2</v>
      </c>
      <c r="E157" s="10"/>
      <c r="F157" s="10"/>
      <c r="G157" s="10"/>
      <c r="H157" s="10">
        <f>SUM(B157:G157)</f>
        <v>199479.2</v>
      </c>
    </row>
    <row r="158" spans="1:21" x14ac:dyDescent="0.2">
      <c r="A158" s="49" t="s">
        <v>152</v>
      </c>
      <c r="B158" s="10"/>
      <c r="C158" s="10"/>
      <c r="D158" s="10">
        <f>H154</f>
        <v>973010</v>
      </c>
      <c r="E158" s="10">
        <f>L154</f>
        <v>965899</v>
      </c>
      <c r="F158" s="10">
        <f>O154</f>
        <v>262305</v>
      </c>
      <c r="G158" s="10">
        <f>R154</f>
        <v>667334</v>
      </c>
      <c r="H158" s="10">
        <f t="shared" ref="H158:H161" si="12">SUM(B158:G158)</f>
        <v>2868548</v>
      </c>
      <c r="I158" s="88">
        <f>H158-3000000</f>
        <v>-131452</v>
      </c>
    </row>
    <row r="159" spans="1:21" ht="13.5" thickBot="1" x14ac:dyDescent="0.25">
      <c r="A159" s="76"/>
      <c r="B159" s="77"/>
      <c r="C159" s="77"/>
      <c r="D159" s="77"/>
      <c r="E159" s="77"/>
      <c r="F159" s="77"/>
      <c r="G159" s="77"/>
      <c r="H159" s="77"/>
    </row>
    <row r="160" spans="1:21" x14ac:dyDescent="0.2">
      <c r="A160" s="78" t="s">
        <v>145</v>
      </c>
      <c r="B160" s="79">
        <f>C154</f>
        <v>484254.09123000002</v>
      </c>
      <c r="C160" s="79">
        <f>D154</f>
        <v>460897.52007999999</v>
      </c>
      <c r="D160" s="79">
        <f>G154+I154</f>
        <v>828888.52</v>
      </c>
      <c r="E160" s="79">
        <f>M154</f>
        <v>886394.58</v>
      </c>
      <c r="F160" s="79">
        <f>P154</f>
        <v>874250</v>
      </c>
      <c r="G160" s="79">
        <f>T154</f>
        <v>0</v>
      </c>
      <c r="H160" s="80">
        <f t="shared" si="12"/>
        <v>3534684.7113100002</v>
      </c>
    </row>
    <row r="161" spans="1:9" x14ac:dyDescent="0.2">
      <c r="A161" s="81" t="s">
        <v>141</v>
      </c>
      <c r="B161" s="10"/>
      <c r="C161" s="10">
        <f>E154</f>
        <v>382266.45500000002</v>
      </c>
      <c r="D161" s="10">
        <f>J154</f>
        <v>832828.88</v>
      </c>
      <c r="E161" s="10">
        <f>N154</f>
        <v>666477.58499999996</v>
      </c>
      <c r="F161" s="10">
        <f>Q154</f>
        <v>1426001</v>
      </c>
      <c r="G161" s="10">
        <f>U154+S122</f>
        <v>225615</v>
      </c>
      <c r="H161" s="82">
        <f t="shared" si="12"/>
        <v>3533188.92</v>
      </c>
      <c r="I161" s="14">
        <f>H160-H161</f>
        <v>1495.7913100002334</v>
      </c>
    </row>
    <row r="162" spans="1:9" ht="13.5" thickBot="1" x14ac:dyDescent="0.25">
      <c r="A162" s="83" t="s">
        <v>150</v>
      </c>
      <c r="B162" s="84"/>
      <c r="C162" s="85">
        <f>B160+C160-C161</f>
        <v>562885.15630999999</v>
      </c>
      <c r="D162" s="85">
        <f>C162+D160-D161</f>
        <v>558944.79631000001</v>
      </c>
      <c r="E162" s="85">
        <f>D162+E160-E161</f>
        <v>778861.79131</v>
      </c>
      <c r="F162" s="85">
        <f t="shared" ref="F162:G162" si="13">E162+F160-F161</f>
        <v>227110.79131</v>
      </c>
      <c r="G162" s="85">
        <f t="shared" si="13"/>
        <v>1495.7913100000005</v>
      </c>
      <c r="H162" s="86"/>
    </row>
  </sheetData>
  <autoFilter ref="A1:U114" xr:uid="{4ABA3BC3-8023-4B4C-A20D-DE4822BA870B}"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5">
    <mergeCell ref="A1:A2"/>
    <mergeCell ref="F1:J1"/>
    <mergeCell ref="K1:N1"/>
    <mergeCell ref="O1:Q1"/>
    <mergeCell ref="R1:U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2AC76-6D93-49FC-B510-B7E5563FAD6D}">
  <dimension ref="A1:U165"/>
  <sheetViews>
    <sheetView workbookViewId="0">
      <selection sqref="A1:A2"/>
    </sheetView>
  </sheetViews>
  <sheetFormatPr defaultColWidth="9.140625" defaultRowHeight="12.75" x14ac:dyDescent="0.2"/>
  <cols>
    <col min="1" max="1" width="52.42578125" style="4" customWidth="1"/>
    <col min="2" max="21" width="14.7109375" style="14" customWidth="1"/>
    <col min="22" max="16384" width="9.140625" style="4"/>
  </cols>
  <sheetData>
    <row r="1" spans="1:21" ht="21" customHeight="1" x14ac:dyDescent="0.2">
      <c r="A1" s="372" t="s">
        <v>0</v>
      </c>
      <c r="B1" s="71">
        <v>2018</v>
      </c>
      <c r="C1" s="71" t="s">
        <v>149</v>
      </c>
      <c r="D1" s="71" t="s">
        <v>147</v>
      </c>
      <c r="E1" s="71" t="s">
        <v>148</v>
      </c>
      <c r="F1" s="374" t="s">
        <v>113</v>
      </c>
      <c r="G1" s="368"/>
      <c r="H1" s="368"/>
      <c r="I1" s="368"/>
      <c r="J1" s="375"/>
      <c r="K1" s="367" t="s">
        <v>114</v>
      </c>
      <c r="L1" s="370"/>
      <c r="M1" s="371"/>
      <c r="N1" s="369"/>
      <c r="O1" s="367" t="s">
        <v>115</v>
      </c>
      <c r="P1" s="368"/>
      <c r="Q1" s="369"/>
      <c r="R1" s="367" t="s">
        <v>116</v>
      </c>
      <c r="S1" s="368"/>
      <c r="T1" s="368"/>
      <c r="U1" s="369"/>
    </row>
    <row r="2" spans="1:21" ht="25.5" x14ac:dyDescent="0.2">
      <c r="A2" s="373"/>
      <c r="B2" s="21"/>
      <c r="C2" s="21"/>
      <c r="D2" s="21"/>
      <c r="E2" s="21"/>
      <c r="F2" s="21" t="s">
        <v>143</v>
      </c>
      <c r="G2" s="75" t="s">
        <v>36</v>
      </c>
      <c r="H2" s="5" t="s">
        <v>152</v>
      </c>
      <c r="I2" s="57" t="s">
        <v>139</v>
      </c>
      <c r="J2" s="22" t="s">
        <v>140</v>
      </c>
      <c r="K2" s="21" t="s">
        <v>143</v>
      </c>
      <c r="L2" s="5" t="s">
        <v>152</v>
      </c>
      <c r="M2" s="57" t="s">
        <v>139</v>
      </c>
      <c r="N2" s="22" t="s">
        <v>140</v>
      </c>
      <c r="O2" s="5" t="s">
        <v>152</v>
      </c>
      <c r="P2" s="57" t="s">
        <v>139</v>
      </c>
      <c r="Q2" s="22" t="s">
        <v>140</v>
      </c>
      <c r="R2" s="5" t="s">
        <v>152</v>
      </c>
      <c r="S2" s="75" t="s">
        <v>36</v>
      </c>
      <c r="T2" s="57" t="s">
        <v>139</v>
      </c>
      <c r="U2" s="22" t="s">
        <v>140</v>
      </c>
    </row>
    <row r="3" spans="1:21" s="37" customFormat="1" x14ac:dyDescent="0.2">
      <c r="A3" s="38" t="s">
        <v>94</v>
      </c>
      <c r="B3" s="43"/>
      <c r="C3" s="43"/>
      <c r="D3" s="43"/>
      <c r="E3" s="43"/>
      <c r="F3" s="43"/>
      <c r="G3" s="44"/>
      <c r="H3" s="45"/>
      <c r="I3" s="58">
        <v>61500</v>
      </c>
      <c r="J3" s="46"/>
      <c r="K3" s="43"/>
      <c r="L3" s="45"/>
      <c r="M3" s="45">
        <v>12000</v>
      </c>
      <c r="N3" s="46">
        <v>73500</v>
      </c>
      <c r="O3" s="43"/>
      <c r="P3" s="45"/>
      <c r="Q3" s="46"/>
      <c r="R3" s="43"/>
      <c r="S3" s="55"/>
      <c r="T3" s="55"/>
      <c r="U3" s="46"/>
    </row>
    <row r="4" spans="1:21" s="37" customFormat="1" x14ac:dyDescent="0.2">
      <c r="A4" s="38" t="s">
        <v>95</v>
      </c>
      <c r="B4" s="43"/>
      <c r="C4" s="43"/>
      <c r="D4" s="43"/>
      <c r="E4" s="43"/>
      <c r="F4" s="43"/>
      <c r="G4" s="44"/>
      <c r="H4" s="45"/>
      <c r="I4" s="58"/>
      <c r="J4" s="46"/>
      <c r="K4" s="43"/>
      <c r="L4" s="45"/>
      <c r="M4" s="45">
        <v>41615</v>
      </c>
      <c r="N4" s="46"/>
      <c r="O4" s="43"/>
      <c r="P4" s="45">
        <v>125000</v>
      </c>
      <c r="Q4" s="46">
        <v>41000</v>
      </c>
      <c r="R4" s="43"/>
      <c r="S4" s="55"/>
      <c r="T4" s="55"/>
      <c r="U4" s="46">
        <v>125615</v>
      </c>
    </row>
    <row r="5" spans="1:21" s="37" customFormat="1" ht="25.5" x14ac:dyDescent="0.2">
      <c r="A5" s="38" t="s">
        <v>96</v>
      </c>
      <c r="B5" s="43"/>
      <c r="C5" s="43"/>
      <c r="D5" s="43"/>
      <c r="E5" s="43"/>
      <c r="F5" s="43"/>
      <c r="G5" s="44"/>
      <c r="H5" s="45"/>
      <c r="I5" s="58">
        <v>61250</v>
      </c>
      <c r="J5" s="46"/>
      <c r="K5" s="43"/>
      <c r="L5" s="45"/>
      <c r="M5" s="45"/>
      <c r="N5" s="46">
        <v>61250</v>
      </c>
      <c r="O5" s="43"/>
      <c r="P5" s="45"/>
      <c r="Q5" s="46"/>
      <c r="R5" s="43"/>
      <c r="S5" s="55"/>
      <c r="T5" s="55"/>
      <c r="U5" s="46"/>
    </row>
    <row r="6" spans="1:21" s="37" customFormat="1" x14ac:dyDescent="0.2">
      <c r="A6" s="38" t="s">
        <v>97</v>
      </c>
      <c r="B6" s="43"/>
      <c r="C6" s="43"/>
      <c r="D6" s="43"/>
      <c r="E6" s="43">
        <v>49812.41</v>
      </c>
      <c r="F6" s="43"/>
      <c r="G6" s="44"/>
      <c r="H6" s="45"/>
      <c r="I6" s="58"/>
      <c r="J6" s="46"/>
      <c r="K6" s="43"/>
      <c r="L6" s="45"/>
      <c r="M6" s="45"/>
      <c r="N6" s="46"/>
      <c r="O6" s="43"/>
      <c r="P6" s="45"/>
      <c r="Q6" s="46"/>
      <c r="R6" s="43"/>
      <c r="S6" s="55"/>
      <c r="T6" s="55"/>
      <c r="U6" s="46"/>
    </row>
    <row r="7" spans="1:21" s="37" customFormat="1" x14ac:dyDescent="0.2">
      <c r="A7" s="39" t="s">
        <v>37</v>
      </c>
      <c r="B7" s="43"/>
      <c r="C7" s="43"/>
      <c r="D7" s="43">
        <v>26008.13</v>
      </c>
      <c r="E7" s="43"/>
      <c r="F7" s="43"/>
      <c r="G7" s="44"/>
      <c r="H7" s="45"/>
      <c r="I7" s="58"/>
      <c r="J7" s="46">
        <v>26375.15</v>
      </c>
      <c r="K7" s="43"/>
      <c r="L7" s="45"/>
      <c r="M7" s="45"/>
      <c r="N7" s="46"/>
      <c r="O7" s="43"/>
      <c r="P7" s="45"/>
      <c r="Q7" s="46"/>
      <c r="R7" s="43"/>
      <c r="S7" s="55"/>
      <c r="T7" s="55"/>
      <c r="U7" s="46"/>
    </row>
    <row r="8" spans="1:21" s="37" customFormat="1" x14ac:dyDescent="0.2">
      <c r="A8" s="39" t="s">
        <v>39</v>
      </c>
      <c r="B8" s="43"/>
      <c r="C8" s="43"/>
      <c r="D8" s="43"/>
      <c r="E8" s="43">
        <v>28692.21</v>
      </c>
      <c r="F8" s="43"/>
      <c r="G8" s="44"/>
      <c r="H8" s="45"/>
      <c r="I8" s="58"/>
      <c r="J8" s="46"/>
      <c r="K8" s="43"/>
      <c r="L8" s="45"/>
      <c r="M8" s="45"/>
      <c r="N8" s="46"/>
      <c r="O8" s="43"/>
      <c r="P8" s="45"/>
      <c r="Q8" s="46"/>
      <c r="R8" s="43"/>
      <c r="S8" s="55"/>
      <c r="T8" s="55"/>
      <c r="U8" s="46"/>
    </row>
    <row r="9" spans="1:21" s="37" customFormat="1" x14ac:dyDescent="0.2">
      <c r="A9" s="39" t="s">
        <v>142</v>
      </c>
      <c r="B9" s="43"/>
      <c r="C9" s="43"/>
      <c r="D9" s="43">
        <v>35376.769999999997</v>
      </c>
      <c r="E9" s="43"/>
      <c r="F9" s="43"/>
      <c r="G9" s="44"/>
      <c r="H9" s="45"/>
      <c r="I9" s="58"/>
      <c r="J9" s="46">
        <v>128367.44</v>
      </c>
      <c r="K9" s="43"/>
      <c r="L9" s="45"/>
      <c r="M9" s="45"/>
      <c r="N9" s="46"/>
      <c r="O9" s="43"/>
      <c r="P9" s="45"/>
      <c r="Q9" s="46"/>
      <c r="R9" s="43"/>
      <c r="S9" s="55"/>
      <c r="T9" s="55"/>
      <c r="U9" s="46"/>
    </row>
    <row r="10" spans="1:21" s="37" customFormat="1" ht="25.5" x14ac:dyDescent="0.2">
      <c r="A10" s="39" t="s">
        <v>38</v>
      </c>
      <c r="B10" s="43"/>
      <c r="C10" s="43"/>
      <c r="D10" s="43">
        <v>33997.089999999997</v>
      </c>
      <c r="E10" s="43"/>
      <c r="F10" s="43"/>
      <c r="G10" s="44"/>
      <c r="H10" s="45"/>
      <c r="I10" s="58"/>
      <c r="J10" s="46">
        <v>68490.75</v>
      </c>
      <c r="K10" s="43"/>
      <c r="L10" s="45"/>
      <c r="M10" s="45"/>
      <c r="N10" s="46"/>
      <c r="O10" s="43"/>
      <c r="P10" s="45"/>
      <c r="Q10" s="46"/>
      <c r="R10" s="43"/>
      <c r="S10" s="55"/>
      <c r="T10" s="55"/>
      <c r="U10" s="46"/>
    </row>
    <row r="11" spans="1:21" s="37" customFormat="1" ht="25.5" x14ac:dyDescent="0.2">
      <c r="A11" s="39" t="s">
        <v>40</v>
      </c>
      <c r="B11" s="43"/>
      <c r="C11" s="43"/>
      <c r="D11" s="43">
        <v>20356.8</v>
      </c>
      <c r="E11" s="43">
        <v>82232.67</v>
      </c>
      <c r="F11" s="43"/>
      <c r="G11" s="44"/>
      <c r="H11" s="45"/>
      <c r="I11" s="58"/>
      <c r="J11" s="46"/>
      <c r="K11" s="43"/>
      <c r="L11" s="45"/>
      <c r="M11" s="45"/>
      <c r="N11" s="46"/>
      <c r="O11" s="43"/>
      <c r="P11" s="45"/>
      <c r="Q11" s="46"/>
      <c r="R11" s="43"/>
      <c r="S11" s="55"/>
      <c r="T11" s="55"/>
      <c r="U11" s="46"/>
    </row>
    <row r="12" spans="1:21" s="37" customFormat="1" ht="25.5" x14ac:dyDescent="0.2">
      <c r="A12" s="39" t="s">
        <v>41</v>
      </c>
      <c r="B12" s="43"/>
      <c r="C12" s="43"/>
      <c r="D12" s="43">
        <v>190.46</v>
      </c>
      <c r="E12" s="43"/>
      <c r="F12" s="43"/>
      <c r="G12" s="44"/>
      <c r="H12" s="45"/>
      <c r="I12" s="58">
        <f>40720+2059.53</f>
        <v>42779.53</v>
      </c>
      <c r="J12" s="46">
        <v>42970</v>
      </c>
      <c r="K12" s="43"/>
      <c r="L12" s="45"/>
      <c r="M12" s="45"/>
      <c r="N12" s="46"/>
      <c r="O12" s="43"/>
      <c r="P12" s="45"/>
      <c r="Q12" s="46"/>
      <c r="R12" s="43"/>
      <c r="S12" s="55"/>
      <c r="T12" s="55"/>
      <c r="U12" s="46"/>
    </row>
    <row r="13" spans="1:21" s="37" customFormat="1" ht="25.5" x14ac:dyDescent="0.2">
      <c r="A13" s="39" t="s">
        <v>43</v>
      </c>
      <c r="B13" s="43"/>
      <c r="C13" s="43"/>
      <c r="D13" s="43"/>
      <c r="E13" s="43"/>
      <c r="F13" s="43"/>
      <c r="G13" s="44"/>
      <c r="H13" s="45"/>
      <c r="I13" s="58">
        <v>73420</v>
      </c>
      <c r="J13" s="46"/>
      <c r="K13" s="43"/>
      <c r="L13" s="45"/>
      <c r="M13" s="45"/>
      <c r="N13" s="46">
        <v>73420</v>
      </c>
      <c r="O13" s="43"/>
      <c r="P13" s="45"/>
      <c r="Q13" s="46"/>
      <c r="R13" s="43"/>
      <c r="S13" s="55"/>
      <c r="T13" s="55"/>
      <c r="U13" s="46"/>
    </row>
    <row r="14" spans="1:21" s="37" customFormat="1" ht="25.5" x14ac:dyDescent="0.2">
      <c r="A14" s="39" t="s">
        <v>42</v>
      </c>
      <c r="B14" s="43"/>
      <c r="C14" s="43"/>
      <c r="D14" s="43"/>
      <c r="E14" s="43">
        <v>46106.89</v>
      </c>
      <c r="F14" s="43"/>
      <c r="G14" s="44"/>
      <c r="H14" s="45"/>
      <c r="I14" s="58"/>
      <c r="J14" s="46"/>
      <c r="K14" s="43"/>
      <c r="L14" s="45"/>
      <c r="M14" s="45"/>
      <c r="N14" s="46"/>
      <c r="O14" s="43"/>
      <c r="P14" s="45"/>
      <c r="Q14" s="46"/>
      <c r="R14" s="43"/>
      <c r="S14" s="55"/>
      <c r="T14" s="55"/>
      <c r="U14" s="46"/>
    </row>
    <row r="15" spans="1:21" s="37" customFormat="1" x14ac:dyDescent="0.2">
      <c r="A15" s="39" t="s">
        <v>44</v>
      </c>
      <c r="B15" s="43"/>
      <c r="C15" s="43"/>
      <c r="D15" s="43"/>
      <c r="E15" s="43"/>
      <c r="F15" s="43"/>
      <c r="G15" s="44"/>
      <c r="H15" s="45"/>
      <c r="I15" s="58">
        <v>39283</v>
      </c>
      <c r="J15" s="46">
        <v>39283</v>
      </c>
      <c r="K15" s="43"/>
      <c r="L15" s="45"/>
      <c r="M15" s="45"/>
      <c r="N15" s="46"/>
      <c r="O15" s="43"/>
      <c r="P15" s="45"/>
      <c r="Q15" s="46"/>
      <c r="R15" s="43"/>
      <c r="S15" s="55"/>
      <c r="T15" s="55"/>
      <c r="U15" s="46"/>
    </row>
    <row r="16" spans="1:21" s="37" customFormat="1" x14ac:dyDescent="0.2">
      <c r="A16" s="39" t="s">
        <v>45</v>
      </c>
      <c r="B16" s="43"/>
      <c r="C16" s="43"/>
      <c r="D16" s="43">
        <v>27498.560000000001</v>
      </c>
      <c r="E16" s="43"/>
      <c r="F16" s="43"/>
      <c r="G16" s="44"/>
      <c r="H16" s="45"/>
      <c r="I16" s="58">
        <v>1265.94</v>
      </c>
      <c r="J16" s="46">
        <v>28764.5</v>
      </c>
      <c r="K16" s="43"/>
      <c r="L16" s="45"/>
      <c r="M16" s="45"/>
      <c r="N16" s="46"/>
      <c r="O16" s="43"/>
      <c r="P16" s="45"/>
      <c r="Q16" s="46"/>
      <c r="R16" s="43"/>
      <c r="S16" s="55"/>
      <c r="T16" s="55"/>
      <c r="U16" s="46"/>
    </row>
    <row r="17" spans="1:21" s="37" customFormat="1" ht="25.5" x14ac:dyDescent="0.2">
      <c r="A17" s="39" t="s">
        <v>46</v>
      </c>
      <c r="B17" s="43"/>
      <c r="C17" s="43"/>
      <c r="D17" s="43"/>
      <c r="E17" s="43"/>
      <c r="F17" s="43"/>
      <c r="G17" s="44"/>
      <c r="H17" s="45"/>
      <c r="I17" s="58"/>
      <c r="J17" s="46"/>
      <c r="K17" s="43"/>
      <c r="L17" s="45"/>
      <c r="M17" s="45"/>
      <c r="N17" s="46"/>
      <c r="O17" s="43"/>
      <c r="P17" s="45">
        <v>63270</v>
      </c>
      <c r="Q17" s="46">
        <v>63270</v>
      </c>
      <c r="R17" s="43"/>
      <c r="S17" s="55"/>
      <c r="T17" s="55"/>
      <c r="U17" s="46"/>
    </row>
    <row r="18" spans="1:21" s="37" customFormat="1" x14ac:dyDescent="0.2">
      <c r="A18" s="39" t="s">
        <v>47</v>
      </c>
      <c r="B18" s="43"/>
      <c r="C18" s="43"/>
      <c r="D18" s="43"/>
      <c r="E18" s="43"/>
      <c r="F18" s="43"/>
      <c r="G18" s="44"/>
      <c r="H18" s="45"/>
      <c r="I18" s="58">
        <v>60100</v>
      </c>
      <c r="J18" s="46"/>
      <c r="K18" s="43"/>
      <c r="L18" s="45"/>
      <c r="M18" s="45">
        <v>35178</v>
      </c>
      <c r="N18" s="46"/>
      <c r="O18" s="43"/>
      <c r="P18" s="45"/>
      <c r="Q18" s="46">
        <v>95278</v>
      </c>
      <c r="R18" s="43"/>
      <c r="S18" s="55"/>
      <c r="T18" s="55"/>
      <c r="U18" s="46"/>
    </row>
    <row r="19" spans="1:21" s="37" customFormat="1" x14ac:dyDescent="0.2">
      <c r="A19" s="39" t="s">
        <v>48</v>
      </c>
      <c r="B19" s="43"/>
      <c r="C19" s="43"/>
      <c r="D19" s="43"/>
      <c r="E19" s="43"/>
      <c r="F19" s="43"/>
      <c r="G19" s="44"/>
      <c r="H19" s="45"/>
      <c r="I19" s="58"/>
      <c r="J19" s="46"/>
      <c r="K19" s="43"/>
      <c r="L19" s="45"/>
      <c r="M19" s="45">
        <v>34440</v>
      </c>
      <c r="N19" s="46">
        <v>34440</v>
      </c>
      <c r="O19" s="43"/>
      <c r="P19" s="45"/>
      <c r="Q19" s="46"/>
      <c r="R19" s="43"/>
      <c r="S19" s="55"/>
      <c r="T19" s="55"/>
      <c r="U19" s="46"/>
    </row>
    <row r="20" spans="1:21" s="37" customFormat="1" ht="25.5" x14ac:dyDescent="0.2">
      <c r="A20" s="39" t="s">
        <v>49</v>
      </c>
      <c r="B20" s="43"/>
      <c r="C20" s="43"/>
      <c r="D20" s="43"/>
      <c r="E20" s="43"/>
      <c r="F20" s="43"/>
      <c r="G20" s="44"/>
      <c r="H20" s="45"/>
      <c r="I20" s="58"/>
      <c r="J20" s="46"/>
      <c r="K20" s="43"/>
      <c r="L20" s="45"/>
      <c r="M20" s="45"/>
      <c r="N20" s="46"/>
      <c r="O20" s="43"/>
      <c r="P20" s="45">
        <v>45465</v>
      </c>
      <c r="Q20" s="46">
        <v>45465</v>
      </c>
      <c r="R20" s="43"/>
      <c r="S20" s="55"/>
      <c r="T20" s="55"/>
      <c r="U20" s="46"/>
    </row>
    <row r="21" spans="1:21" s="37" customFormat="1" ht="38.25" x14ac:dyDescent="0.2">
      <c r="A21" s="39" t="s">
        <v>50</v>
      </c>
      <c r="B21" s="43"/>
      <c r="C21" s="43"/>
      <c r="D21" s="43"/>
      <c r="E21" s="43"/>
      <c r="F21" s="43"/>
      <c r="G21" s="44"/>
      <c r="H21" s="45"/>
      <c r="I21" s="58"/>
      <c r="J21" s="46"/>
      <c r="K21" s="43"/>
      <c r="L21" s="45"/>
      <c r="M21" s="45"/>
      <c r="N21" s="46"/>
      <c r="O21" s="43"/>
      <c r="P21" s="45">
        <v>121800</v>
      </c>
      <c r="Q21" s="46">
        <v>121800</v>
      </c>
      <c r="R21" s="43"/>
      <c r="S21" s="55"/>
      <c r="T21" s="55"/>
      <c r="U21" s="46"/>
    </row>
    <row r="22" spans="1:21" s="37" customFormat="1" ht="25.5" x14ac:dyDescent="0.2">
      <c r="A22" s="39" t="s">
        <v>51</v>
      </c>
      <c r="B22" s="43"/>
      <c r="C22" s="43"/>
      <c r="D22" s="43"/>
      <c r="E22" s="43"/>
      <c r="F22" s="43"/>
      <c r="G22" s="44"/>
      <c r="H22" s="45"/>
      <c r="I22" s="58"/>
      <c r="J22" s="46"/>
      <c r="K22" s="43"/>
      <c r="L22" s="45"/>
      <c r="M22" s="45"/>
      <c r="N22" s="46"/>
      <c r="O22" s="43"/>
      <c r="P22" s="45">
        <v>45163</v>
      </c>
      <c r="Q22" s="46">
        <v>45163</v>
      </c>
      <c r="R22" s="43"/>
      <c r="S22" s="55"/>
      <c r="T22" s="55"/>
      <c r="U22" s="46"/>
    </row>
    <row r="23" spans="1:21" s="37" customFormat="1" ht="25.5" x14ac:dyDescent="0.2">
      <c r="A23" s="39" t="s">
        <v>52</v>
      </c>
      <c r="B23" s="43"/>
      <c r="C23" s="43"/>
      <c r="D23" s="43"/>
      <c r="E23" s="43"/>
      <c r="F23" s="43"/>
      <c r="G23" s="44"/>
      <c r="H23" s="45"/>
      <c r="I23" s="58">
        <v>0</v>
      </c>
      <c r="J23" s="46"/>
      <c r="K23" s="43"/>
      <c r="L23" s="45"/>
      <c r="M23" s="45"/>
      <c r="N23" s="46"/>
      <c r="O23" s="43"/>
      <c r="P23" s="45">
        <v>14720</v>
      </c>
      <c r="Q23" s="46">
        <v>14720</v>
      </c>
      <c r="R23" s="43"/>
      <c r="S23" s="55"/>
      <c r="T23" s="55"/>
      <c r="U23" s="46"/>
    </row>
    <row r="24" spans="1:21" s="37" customFormat="1" ht="25.5" x14ac:dyDescent="0.2">
      <c r="A24" s="39" t="s">
        <v>53</v>
      </c>
      <c r="B24" s="43"/>
      <c r="C24" s="43"/>
      <c r="D24" s="43"/>
      <c r="E24" s="43"/>
      <c r="F24" s="43"/>
      <c r="G24" s="44"/>
      <c r="H24" s="45"/>
      <c r="I24" s="58"/>
      <c r="J24" s="46"/>
      <c r="K24" s="43"/>
      <c r="L24" s="45"/>
      <c r="M24" s="45"/>
      <c r="N24" s="46"/>
      <c r="O24" s="43"/>
      <c r="P24" s="45">
        <v>13293</v>
      </c>
      <c r="Q24" s="46">
        <v>13293</v>
      </c>
      <c r="R24" s="43"/>
      <c r="S24" s="55"/>
      <c r="T24" s="55"/>
      <c r="U24" s="46"/>
    </row>
    <row r="25" spans="1:21" s="37" customFormat="1" ht="25.5" x14ac:dyDescent="0.2">
      <c r="A25" s="39" t="s">
        <v>54</v>
      </c>
      <c r="B25" s="43"/>
      <c r="C25" s="43"/>
      <c r="D25" s="43"/>
      <c r="E25" s="43"/>
      <c r="F25" s="43"/>
      <c r="G25" s="44"/>
      <c r="H25" s="45"/>
      <c r="I25" s="58"/>
      <c r="J25" s="46"/>
      <c r="K25" s="43"/>
      <c r="L25" s="45"/>
      <c r="M25" s="45">
        <v>87137</v>
      </c>
      <c r="N25" s="46"/>
      <c r="O25" s="43"/>
      <c r="P25" s="45">
        <v>18000</v>
      </c>
      <c r="Q25" s="46">
        <v>105137</v>
      </c>
      <c r="R25" s="43"/>
      <c r="S25" s="55"/>
      <c r="T25" s="55"/>
      <c r="U25" s="46"/>
    </row>
    <row r="26" spans="1:21" s="37" customFormat="1" ht="25.5" x14ac:dyDescent="0.2">
      <c r="A26" s="39" t="s">
        <v>55</v>
      </c>
      <c r="B26" s="43"/>
      <c r="C26" s="43"/>
      <c r="D26" s="43"/>
      <c r="E26" s="43"/>
      <c r="F26" s="43"/>
      <c r="G26" s="44"/>
      <c r="H26" s="45"/>
      <c r="I26" s="58">
        <v>59400</v>
      </c>
      <c r="J26" s="46"/>
      <c r="K26" s="43"/>
      <c r="L26" s="45"/>
      <c r="M26" s="45">
        <v>52590</v>
      </c>
      <c r="N26" s="46"/>
      <c r="O26" s="43"/>
      <c r="P26" s="45"/>
      <c r="Q26" s="46">
        <v>111990</v>
      </c>
      <c r="R26" s="43"/>
      <c r="S26" s="55"/>
      <c r="T26" s="55"/>
      <c r="U26" s="46"/>
    </row>
    <row r="27" spans="1:21" s="37" customFormat="1" ht="25.5" x14ac:dyDescent="0.2">
      <c r="A27" s="39" t="s">
        <v>56</v>
      </c>
      <c r="B27" s="43"/>
      <c r="C27" s="43"/>
      <c r="D27" s="43"/>
      <c r="E27" s="43"/>
      <c r="F27" s="43"/>
      <c r="G27" s="44"/>
      <c r="H27" s="45"/>
      <c r="I27" s="58"/>
      <c r="J27" s="46"/>
      <c r="K27" s="43"/>
      <c r="L27" s="45"/>
      <c r="M27" s="45"/>
      <c r="N27" s="46"/>
      <c r="O27" s="43"/>
      <c r="P27" s="45">
        <v>25800</v>
      </c>
      <c r="Q27" s="46">
        <v>25800</v>
      </c>
      <c r="R27" s="43"/>
      <c r="S27" s="55"/>
      <c r="T27" s="55"/>
      <c r="U27" s="46"/>
    </row>
    <row r="28" spans="1:21" s="37" customFormat="1" x14ac:dyDescent="0.2">
      <c r="A28" s="39" t="s">
        <v>57</v>
      </c>
      <c r="B28" s="43"/>
      <c r="C28" s="43"/>
      <c r="D28" s="43"/>
      <c r="E28" s="43"/>
      <c r="F28" s="43"/>
      <c r="G28" s="44"/>
      <c r="H28" s="45"/>
      <c r="I28" s="58">
        <v>23100</v>
      </c>
      <c r="J28" s="46"/>
      <c r="K28" s="43"/>
      <c r="L28" s="45"/>
      <c r="M28" s="45">
        <v>71981</v>
      </c>
      <c r="N28" s="46"/>
      <c r="O28" s="43"/>
      <c r="P28" s="45">
        <v>4500</v>
      </c>
      <c r="Q28" s="46">
        <v>99581</v>
      </c>
      <c r="R28" s="43"/>
      <c r="S28" s="55"/>
      <c r="T28" s="55"/>
      <c r="U28" s="46"/>
    </row>
    <row r="29" spans="1:21" s="37" customFormat="1" x14ac:dyDescent="0.2">
      <c r="A29" s="39" t="s">
        <v>58</v>
      </c>
      <c r="B29" s="43"/>
      <c r="C29" s="43"/>
      <c r="D29" s="43"/>
      <c r="E29" s="43"/>
      <c r="F29" s="43"/>
      <c r="G29" s="44"/>
      <c r="H29" s="45"/>
      <c r="I29" s="58">
        <v>3930</v>
      </c>
      <c r="J29" s="46">
        <v>3930</v>
      </c>
      <c r="K29" s="43"/>
      <c r="L29" s="45"/>
      <c r="M29" s="45"/>
      <c r="N29" s="46"/>
      <c r="O29" s="43"/>
      <c r="P29" s="45"/>
      <c r="Q29" s="46"/>
      <c r="R29" s="43"/>
      <c r="S29" s="55"/>
      <c r="T29" s="55"/>
      <c r="U29" s="46"/>
    </row>
    <row r="30" spans="1:21" s="37" customFormat="1" x14ac:dyDescent="0.2">
      <c r="A30" s="39" t="s">
        <v>59</v>
      </c>
      <c r="B30" s="43"/>
      <c r="C30" s="43"/>
      <c r="D30" s="43"/>
      <c r="E30" s="43"/>
      <c r="F30" s="43"/>
      <c r="G30" s="44"/>
      <c r="H30" s="45"/>
      <c r="I30" s="58">
        <v>3273</v>
      </c>
      <c r="J30" s="46">
        <v>3273</v>
      </c>
      <c r="K30" s="43"/>
      <c r="L30" s="45"/>
      <c r="M30" s="45"/>
      <c r="N30" s="46"/>
      <c r="O30" s="43"/>
      <c r="P30" s="45"/>
      <c r="Q30" s="46"/>
      <c r="R30" s="43"/>
      <c r="S30" s="55"/>
      <c r="T30" s="55"/>
      <c r="U30" s="46"/>
    </row>
    <row r="31" spans="1:21" s="37" customFormat="1" x14ac:dyDescent="0.2">
      <c r="A31" s="39" t="s">
        <v>60</v>
      </c>
      <c r="B31" s="43"/>
      <c r="C31" s="43"/>
      <c r="D31" s="43"/>
      <c r="E31" s="43"/>
      <c r="F31" s="43"/>
      <c r="G31" s="44"/>
      <c r="H31" s="45"/>
      <c r="I31" s="58">
        <v>1667</v>
      </c>
      <c r="J31" s="46">
        <v>1667</v>
      </c>
      <c r="K31" s="43"/>
      <c r="L31" s="45"/>
      <c r="M31" s="45"/>
      <c r="N31" s="46"/>
      <c r="O31" s="43"/>
      <c r="P31" s="45"/>
      <c r="Q31" s="46"/>
      <c r="R31" s="43"/>
      <c r="S31" s="55"/>
      <c r="T31" s="55"/>
      <c r="U31" s="46"/>
    </row>
    <row r="32" spans="1:21" ht="25.5" x14ac:dyDescent="0.2">
      <c r="A32" s="16" t="s">
        <v>26</v>
      </c>
      <c r="B32" s="23"/>
      <c r="C32" s="23"/>
      <c r="D32" s="23"/>
      <c r="E32" s="23"/>
      <c r="F32" s="23"/>
      <c r="G32" s="6"/>
      <c r="H32" s="6">
        <v>1800</v>
      </c>
      <c r="I32" s="59"/>
      <c r="J32" s="24"/>
      <c r="K32" s="31"/>
      <c r="L32" s="7">
        <v>130000</v>
      </c>
      <c r="M32" s="7"/>
      <c r="N32" s="32"/>
      <c r="O32" s="23"/>
      <c r="P32" s="7"/>
      <c r="Q32" s="24"/>
      <c r="R32" s="23"/>
      <c r="S32" s="56"/>
      <c r="T32" s="56"/>
      <c r="U32" s="24"/>
    </row>
    <row r="33" spans="1:21" ht="38.25" x14ac:dyDescent="0.2">
      <c r="A33" s="16" t="s">
        <v>25</v>
      </c>
      <c r="B33" s="23"/>
      <c r="C33" s="23"/>
      <c r="D33" s="23"/>
      <c r="E33" s="23"/>
      <c r="F33" s="23"/>
      <c r="G33" s="6"/>
      <c r="H33" s="6">
        <v>50000</v>
      </c>
      <c r="I33" s="59"/>
      <c r="J33" s="24"/>
      <c r="K33" s="31"/>
      <c r="L33" s="7">
        <v>76000</v>
      </c>
      <c r="M33" s="7"/>
      <c r="N33" s="32"/>
      <c r="O33" s="23"/>
      <c r="P33" s="7"/>
      <c r="Q33" s="24"/>
      <c r="R33" s="23"/>
      <c r="S33" s="56"/>
      <c r="T33" s="56"/>
      <c r="U33" s="24"/>
    </row>
    <row r="34" spans="1:21" s="8" customFormat="1" x14ac:dyDescent="0.2">
      <c r="A34" s="17" t="s">
        <v>31</v>
      </c>
      <c r="B34" s="25">
        <f t="shared" ref="B34:R34" si="0">SUM(B3:B33)</f>
        <v>0</v>
      </c>
      <c r="C34" s="25">
        <f t="shared" si="0"/>
        <v>0</v>
      </c>
      <c r="D34" s="25">
        <f t="shared" si="0"/>
        <v>143427.81</v>
      </c>
      <c r="E34" s="25">
        <f t="shared" si="0"/>
        <v>206844.18</v>
      </c>
      <c r="F34" s="25">
        <f t="shared" si="0"/>
        <v>0</v>
      </c>
      <c r="G34" s="1">
        <f t="shared" si="0"/>
        <v>0</v>
      </c>
      <c r="H34" s="1">
        <f t="shared" si="0"/>
        <v>51800</v>
      </c>
      <c r="I34" s="60">
        <f t="shared" si="0"/>
        <v>430968.47000000003</v>
      </c>
      <c r="J34" s="63">
        <f t="shared" si="0"/>
        <v>343120.83999999997</v>
      </c>
      <c r="K34" s="25">
        <f t="shared" si="0"/>
        <v>0</v>
      </c>
      <c r="L34" s="1">
        <f t="shared" si="0"/>
        <v>206000</v>
      </c>
      <c r="M34" s="1">
        <f t="shared" si="0"/>
        <v>334941</v>
      </c>
      <c r="N34" s="26">
        <f t="shared" si="0"/>
        <v>242610</v>
      </c>
      <c r="O34" s="25">
        <f t="shared" si="0"/>
        <v>0</v>
      </c>
      <c r="P34" s="25">
        <f t="shared" si="0"/>
        <v>477011</v>
      </c>
      <c r="Q34" s="26">
        <f t="shared" si="0"/>
        <v>782497</v>
      </c>
      <c r="R34" s="25">
        <f t="shared" si="0"/>
        <v>0</v>
      </c>
      <c r="S34" s="25"/>
      <c r="T34" s="25">
        <f>SUM(T3:T33)</f>
        <v>0</v>
      </c>
      <c r="U34" s="26">
        <f>SUM(U3:U33)</f>
        <v>125615</v>
      </c>
    </row>
    <row r="35" spans="1:21" s="37" customFormat="1" ht="25.5" x14ac:dyDescent="0.2">
      <c r="A35" s="38" t="s">
        <v>101</v>
      </c>
      <c r="B35" s="43"/>
      <c r="C35" s="43"/>
      <c r="D35" s="43">
        <v>9288.98</v>
      </c>
      <c r="E35" s="43">
        <v>0</v>
      </c>
      <c r="F35" s="43"/>
      <c r="G35" s="44"/>
      <c r="H35" s="45"/>
      <c r="I35" s="58">
        <v>247.28</v>
      </c>
      <c r="J35" s="46">
        <f>8965+525.67</f>
        <v>9490.67</v>
      </c>
      <c r="K35" s="43"/>
      <c r="L35" s="45"/>
      <c r="M35" s="45"/>
      <c r="N35" s="46"/>
      <c r="O35" s="43"/>
      <c r="P35" s="55"/>
      <c r="Q35" s="46"/>
      <c r="R35" s="43"/>
      <c r="S35" s="55"/>
      <c r="T35" s="55"/>
      <c r="U35" s="46"/>
    </row>
    <row r="36" spans="1:21" s="37" customFormat="1" x14ac:dyDescent="0.2">
      <c r="A36" s="39" t="s">
        <v>61</v>
      </c>
      <c r="B36" s="43"/>
      <c r="C36" s="43"/>
      <c r="D36" s="43">
        <v>3466.25</v>
      </c>
      <c r="E36" s="43"/>
      <c r="F36" s="43"/>
      <c r="G36" s="44"/>
      <c r="H36" s="45"/>
      <c r="I36" s="58">
        <f>6095+56.28</f>
        <v>6151.28</v>
      </c>
      <c r="J36" s="46">
        <v>19892.689999999999</v>
      </c>
      <c r="K36" s="43"/>
      <c r="L36" s="45"/>
      <c r="M36" s="45"/>
      <c r="N36" s="46"/>
      <c r="O36" s="43"/>
      <c r="P36" s="55"/>
      <c r="Q36" s="46"/>
      <c r="R36" s="43"/>
      <c r="S36" s="55"/>
      <c r="T36" s="55"/>
      <c r="U36" s="46"/>
    </row>
    <row r="37" spans="1:21" s="37" customFormat="1" x14ac:dyDescent="0.2">
      <c r="A37" s="39" t="s">
        <v>62</v>
      </c>
      <c r="B37" s="43"/>
      <c r="C37" s="43"/>
      <c r="D37" s="43">
        <v>8810.76</v>
      </c>
      <c r="E37" s="43">
        <v>289.41000000000003</v>
      </c>
      <c r="F37" s="43"/>
      <c r="G37" s="44"/>
      <c r="H37" s="45"/>
      <c r="I37" s="58"/>
      <c r="J37" s="46">
        <v>23274.15</v>
      </c>
      <c r="K37" s="43"/>
      <c r="L37" s="45"/>
      <c r="M37" s="45"/>
      <c r="N37" s="46"/>
      <c r="O37" s="43"/>
      <c r="P37" s="55"/>
      <c r="Q37" s="46"/>
      <c r="R37" s="43"/>
      <c r="S37" s="55"/>
      <c r="T37" s="55"/>
      <c r="U37" s="46"/>
    </row>
    <row r="38" spans="1:21" s="37" customFormat="1" x14ac:dyDescent="0.2">
      <c r="A38" s="39" t="s">
        <v>63</v>
      </c>
      <c r="B38" s="43"/>
      <c r="C38" s="43"/>
      <c r="D38" s="43"/>
      <c r="E38" s="43">
        <v>21763.89</v>
      </c>
      <c r="F38" s="43"/>
      <c r="G38" s="44"/>
      <c r="H38" s="45"/>
      <c r="I38" s="58"/>
      <c r="J38" s="46"/>
      <c r="K38" s="43"/>
      <c r="L38" s="45"/>
      <c r="M38" s="45"/>
      <c r="N38" s="46"/>
      <c r="O38" s="43"/>
      <c r="P38" s="55"/>
      <c r="Q38" s="46"/>
      <c r="R38" s="43"/>
      <c r="S38" s="55"/>
      <c r="T38" s="55"/>
      <c r="U38" s="46"/>
    </row>
    <row r="39" spans="1:21" s="37" customFormat="1" ht="25.5" x14ac:dyDescent="0.2">
      <c r="A39" s="39" t="s">
        <v>64</v>
      </c>
      <c r="B39" s="43"/>
      <c r="C39" s="43"/>
      <c r="D39" s="43">
        <v>22429.23</v>
      </c>
      <c r="E39" s="43">
        <v>76086.210000000006</v>
      </c>
      <c r="F39" s="43"/>
      <c r="G39" s="44"/>
      <c r="H39" s="45"/>
      <c r="I39" s="58"/>
      <c r="J39" s="46"/>
      <c r="K39" s="43"/>
      <c r="L39" s="45"/>
      <c r="M39" s="45"/>
      <c r="N39" s="46"/>
      <c r="O39" s="43"/>
      <c r="P39" s="55"/>
      <c r="Q39" s="46"/>
      <c r="R39" s="43"/>
      <c r="S39" s="55"/>
      <c r="T39" s="55"/>
      <c r="U39" s="46"/>
    </row>
    <row r="40" spans="1:21" s="37" customFormat="1" x14ac:dyDescent="0.2">
      <c r="A40" s="39" t="s">
        <v>65</v>
      </c>
      <c r="B40" s="43"/>
      <c r="C40" s="43"/>
      <c r="D40" s="43">
        <v>64478.93</v>
      </c>
      <c r="E40" s="43"/>
      <c r="F40" s="43"/>
      <c r="G40" s="44"/>
      <c r="H40" s="45"/>
      <c r="I40" s="58">
        <f>15683+2177.01</f>
        <v>17860.010000000002</v>
      </c>
      <c r="J40" s="46">
        <v>100144.03</v>
      </c>
      <c r="K40" s="43"/>
      <c r="L40" s="45"/>
      <c r="M40" s="45"/>
      <c r="N40" s="46"/>
      <c r="O40" s="43"/>
      <c r="P40" s="55"/>
      <c r="Q40" s="46"/>
      <c r="R40" s="43"/>
      <c r="S40" s="55"/>
      <c r="T40" s="55"/>
      <c r="U40" s="46"/>
    </row>
    <row r="41" spans="1:21" s="37" customFormat="1" x14ac:dyDescent="0.2">
      <c r="A41" s="39" t="s">
        <v>66</v>
      </c>
      <c r="B41" s="43"/>
      <c r="C41" s="43"/>
      <c r="D41" s="43"/>
      <c r="E41" s="43"/>
      <c r="F41" s="43"/>
      <c r="G41" s="44"/>
      <c r="H41" s="45"/>
      <c r="I41" s="58"/>
      <c r="J41" s="46"/>
      <c r="K41" s="43"/>
      <c r="L41" s="45"/>
      <c r="M41" s="45"/>
      <c r="N41" s="46"/>
      <c r="O41" s="43"/>
      <c r="P41" s="55"/>
      <c r="Q41" s="46"/>
      <c r="R41" s="43"/>
      <c r="S41" s="55"/>
      <c r="T41" s="55"/>
      <c r="U41" s="46"/>
    </row>
    <row r="42" spans="1:21" s="37" customFormat="1" x14ac:dyDescent="0.2">
      <c r="A42" s="39" t="s">
        <v>67</v>
      </c>
      <c r="B42" s="43"/>
      <c r="C42" s="43"/>
      <c r="D42" s="43"/>
      <c r="E42" s="43"/>
      <c r="F42" s="43"/>
      <c r="G42" s="44"/>
      <c r="H42" s="45"/>
      <c r="I42" s="58"/>
      <c r="J42" s="46"/>
      <c r="K42" s="43"/>
      <c r="L42" s="45"/>
      <c r="M42" s="45">
        <v>16540</v>
      </c>
      <c r="N42" s="46">
        <v>16540</v>
      </c>
      <c r="O42" s="43"/>
      <c r="P42" s="55"/>
      <c r="Q42" s="46"/>
      <c r="R42" s="43"/>
      <c r="S42" s="55"/>
      <c r="T42" s="55"/>
      <c r="U42" s="46"/>
    </row>
    <row r="43" spans="1:21" s="37" customFormat="1" ht="25.5" x14ac:dyDescent="0.2">
      <c r="A43" s="39" t="s">
        <v>68</v>
      </c>
      <c r="B43" s="43"/>
      <c r="C43" s="43"/>
      <c r="D43" s="43">
        <v>1576.58</v>
      </c>
      <c r="E43" s="43"/>
      <c r="F43" s="43"/>
      <c r="G43" s="44"/>
      <c r="H43" s="45"/>
      <c r="I43" s="58">
        <f>23400+1894.3</f>
        <v>25294.3</v>
      </c>
      <c r="J43" s="46"/>
      <c r="K43" s="43"/>
      <c r="L43" s="45"/>
      <c r="M43" s="45">
        <v>9848.58</v>
      </c>
      <c r="N43" s="46">
        <v>36719.47</v>
      </c>
      <c r="O43" s="43"/>
      <c r="P43" s="55"/>
      <c r="Q43" s="46"/>
      <c r="R43" s="43"/>
      <c r="S43" s="55"/>
      <c r="T43" s="55"/>
      <c r="U43" s="46"/>
    </row>
    <row r="44" spans="1:21" x14ac:dyDescent="0.2">
      <c r="A44" s="16" t="s">
        <v>5</v>
      </c>
      <c r="B44" s="27"/>
      <c r="C44" s="27"/>
      <c r="D44" s="27"/>
      <c r="E44" s="27"/>
      <c r="F44" s="27">
        <v>37193.040000000001</v>
      </c>
      <c r="G44" s="11"/>
      <c r="H44" s="11">
        <v>17174</v>
      </c>
      <c r="I44" s="61"/>
      <c r="J44" s="28"/>
      <c r="K44" s="47"/>
      <c r="L44" s="12">
        <v>50000</v>
      </c>
      <c r="M44" s="12"/>
      <c r="N44" s="33"/>
      <c r="O44" s="36">
        <v>50000</v>
      </c>
      <c r="P44" s="65"/>
      <c r="Q44" s="33"/>
      <c r="R44" s="43">
        <v>382334</v>
      </c>
      <c r="S44" s="55"/>
      <c r="T44" s="55"/>
      <c r="U44" s="46"/>
    </row>
    <row r="45" spans="1:21" x14ac:dyDescent="0.2">
      <c r="A45" s="16" t="s">
        <v>2</v>
      </c>
      <c r="B45" s="23"/>
      <c r="C45" s="23"/>
      <c r="D45" s="23"/>
      <c r="E45" s="23"/>
      <c r="F45" s="23">
        <v>71.91</v>
      </c>
      <c r="G45" s="6"/>
      <c r="H45" s="6">
        <v>2760</v>
      </c>
      <c r="I45" s="59"/>
      <c r="J45" s="24"/>
      <c r="K45" s="47"/>
      <c r="L45" s="9">
        <v>9940</v>
      </c>
      <c r="M45" s="9"/>
      <c r="N45" s="34"/>
      <c r="O45" s="23">
        <v>60448</v>
      </c>
      <c r="P45" s="56"/>
      <c r="Q45" s="24"/>
      <c r="R45" s="23">
        <v>220000</v>
      </c>
      <c r="S45" s="56"/>
      <c r="T45" s="56"/>
      <c r="U45" s="24"/>
    </row>
    <row r="46" spans="1:21" x14ac:dyDescent="0.2">
      <c r="A46" s="16" t="s">
        <v>3</v>
      </c>
      <c r="B46" s="23"/>
      <c r="C46" s="23"/>
      <c r="D46" s="23"/>
      <c r="E46" s="23"/>
      <c r="F46" s="23"/>
      <c r="G46" s="6"/>
      <c r="H46" s="6">
        <v>35215</v>
      </c>
      <c r="I46" s="59"/>
      <c r="J46" s="24"/>
      <c r="K46" s="47"/>
      <c r="L46" s="7"/>
      <c r="M46" s="7"/>
      <c r="N46" s="32"/>
      <c r="O46" s="23"/>
      <c r="P46" s="56"/>
      <c r="Q46" s="24"/>
      <c r="R46" s="23"/>
      <c r="S46" s="56"/>
      <c r="T46" s="56"/>
      <c r="U46" s="24"/>
    </row>
    <row r="47" spans="1:21" x14ac:dyDescent="0.2">
      <c r="A47" s="16" t="s">
        <v>1</v>
      </c>
      <c r="B47" s="23"/>
      <c r="C47" s="23"/>
      <c r="D47" s="23"/>
      <c r="E47" s="23"/>
      <c r="F47" s="23"/>
      <c r="G47" s="6"/>
      <c r="H47" s="6"/>
      <c r="I47" s="59"/>
      <c r="J47" s="24"/>
      <c r="K47" s="35"/>
      <c r="L47" s="7"/>
      <c r="M47" s="7"/>
      <c r="N47" s="32"/>
      <c r="O47" s="23">
        <v>30000</v>
      </c>
      <c r="P47" s="56"/>
      <c r="Q47" s="24"/>
      <c r="R47" s="23">
        <v>65000</v>
      </c>
      <c r="S47" s="56"/>
      <c r="T47" s="56"/>
      <c r="U47" s="24"/>
    </row>
    <row r="48" spans="1:21" x14ac:dyDescent="0.2">
      <c r="A48" s="16" t="s">
        <v>4</v>
      </c>
      <c r="B48" s="23"/>
      <c r="C48" s="23"/>
      <c r="D48" s="23"/>
      <c r="E48" s="23"/>
      <c r="F48" s="23"/>
      <c r="G48" s="6"/>
      <c r="H48" s="6">
        <v>45000</v>
      </c>
      <c r="I48" s="59"/>
      <c r="J48" s="24"/>
      <c r="K48" s="47"/>
      <c r="L48" s="7">
        <v>50000</v>
      </c>
      <c r="M48" s="7"/>
      <c r="N48" s="32"/>
      <c r="O48" s="23"/>
      <c r="P48" s="56"/>
      <c r="Q48" s="24"/>
      <c r="R48" s="23"/>
      <c r="S48" s="56"/>
      <c r="T48" s="56"/>
      <c r="U48" s="24"/>
    </row>
    <row r="49" spans="1:21" s="8" customFormat="1" x14ac:dyDescent="0.2">
      <c r="A49" s="17" t="s">
        <v>27</v>
      </c>
      <c r="B49" s="25">
        <f t="shared" ref="B49:R49" si="1">SUM(B35:B48)</f>
        <v>0</v>
      </c>
      <c r="C49" s="25">
        <f t="shared" si="1"/>
        <v>0</v>
      </c>
      <c r="D49" s="25">
        <f t="shared" si="1"/>
        <v>110050.73</v>
      </c>
      <c r="E49" s="25">
        <f t="shared" si="1"/>
        <v>98139.510000000009</v>
      </c>
      <c r="F49" s="25">
        <f t="shared" si="1"/>
        <v>37264.950000000004</v>
      </c>
      <c r="G49" s="1">
        <f t="shared" si="1"/>
        <v>0</v>
      </c>
      <c r="H49" s="1">
        <f t="shared" si="1"/>
        <v>100149</v>
      </c>
      <c r="I49" s="60">
        <f t="shared" si="1"/>
        <v>49552.869999999995</v>
      </c>
      <c r="J49" s="63">
        <f t="shared" si="1"/>
        <v>152801.54</v>
      </c>
      <c r="K49" s="25">
        <f t="shared" si="1"/>
        <v>0</v>
      </c>
      <c r="L49" s="1">
        <f t="shared" si="1"/>
        <v>109940</v>
      </c>
      <c r="M49" s="1">
        <f t="shared" si="1"/>
        <v>26388.58</v>
      </c>
      <c r="N49" s="26">
        <f t="shared" si="1"/>
        <v>53259.47</v>
      </c>
      <c r="O49" s="25">
        <f t="shared" si="1"/>
        <v>140448</v>
      </c>
      <c r="P49" s="15">
        <f t="shared" si="1"/>
        <v>0</v>
      </c>
      <c r="Q49" s="26">
        <f t="shared" si="1"/>
        <v>0</v>
      </c>
      <c r="R49" s="25">
        <f t="shared" si="1"/>
        <v>667334</v>
      </c>
      <c r="S49" s="15"/>
      <c r="T49" s="15">
        <f>SUM(T35:T48)</f>
        <v>0</v>
      </c>
      <c r="U49" s="26">
        <f>SUM(U35:U48)</f>
        <v>0</v>
      </c>
    </row>
    <row r="50" spans="1:21" s="37" customFormat="1" ht="25.5" x14ac:dyDescent="0.2">
      <c r="A50" s="40" t="s">
        <v>69</v>
      </c>
      <c r="B50" s="43"/>
      <c r="C50" s="43"/>
      <c r="D50" s="43">
        <v>12148.69</v>
      </c>
      <c r="E50" s="43"/>
      <c r="F50" s="43"/>
      <c r="G50" s="44"/>
      <c r="H50" s="45"/>
      <c r="I50" s="58">
        <f>10049+2355.75</f>
        <v>12404.75</v>
      </c>
      <c r="J50" s="46"/>
      <c r="K50" s="43"/>
      <c r="L50" s="45"/>
      <c r="M50" s="45"/>
      <c r="N50" s="46">
        <v>24553.439999999999</v>
      </c>
      <c r="O50" s="43"/>
      <c r="P50" s="55"/>
      <c r="Q50" s="46"/>
      <c r="R50" s="43"/>
      <c r="S50" s="55"/>
      <c r="T50" s="55"/>
      <c r="U50" s="46"/>
    </row>
    <row r="51" spans="1:21" s="37" customFormat="1" x14ac:dyDescent="0.2">
      <c r="A51" s="40" t="s">
        <v>70</v>
      </c>
      <c r="B51" s="43"/>
      <c r="C51" s="43"/>
      <c r="D51" s="43">
        <v>5289.39</v>
      </c>
      <c r="E51" s="43"/>
      <c r="F51" s="43"/>
      <c r="G51" s="44"/>
      <c r="H51" s="45"/>
      <c r="I51" s="58">
        <f>6604+1011.92</f>
        <v>7615.92</v>
      </c>
      <c r="J51" s="46"/>
      <c r="K51" s="43"/>
      <c r="L51" s="45"/>
      <c r="M51" s="45"/>
      <c r="N51" s="46">
        <v>12905.31</v>
      </c>
      <c r="O51" s="43"/>
      <c r="P51" s="55"/>
      <c r="Q51" s="46"/>
      <c r="R51" s="43"/>
      <c r="S51" s="55"/>
      <c r="T51" s="55"/>
      <c r="U51" s="46"/>
    </row>
    <row r="52" spans="1:21" s="37" customFormat="1" ht="25.5" x14ac:dyDescent="0.2">
      <c r="A52" s="40" t="s">
        <v>71</v>
      </c>
      <c r="B52" s="43"/>
      <c r="C52" s="43"/>
      <c r="D52" s="43">
        <v>9693.66</v>
      </c>
      <c r="E52" s="43"/>
      <c r="F52" s="43"/>
      <c r="G52" s="44"/>
      <c r="H52" s="45"/>
      <c r="I52" s="58">
        <f>9172+2111.11</f>
        <v>11283.11</v>
      </c>
      <c r="J52" s="46"/>
      <c r="K52" s="43"/>
      <c r="L52" s="45"/>
      <c r="M52" s="45"/>
      <c r="N52" s="46">
        <v>20976.77</v>
      </c>
      <c r="O52" s="43"/>
      <c r="P52" s="55"/>
      <c r="Q52" s="46"/>
      <c r="R52" s="43"/>
      <c r="S52" s="55"/>
      <c r="T52" s="55"/>
      <c r="U52" s="46"/>
    </row>
    <row r="53" spans="1:21" s="37" customFormat="1" ht="25.5" x14ac:dyDescent="0.2">
      <c r="A53" s="40" t="s">
        <v>72</v>
      </c>
      <c r="B53" s="43"/>
      <c r="C53" s="43"/>
      <c r="D53" s="43"/>
      <c r="E53" s="43"/>
      <c r="F53" s="43"/>
      <c r="G53" s="44"/>
      <c r="H53" s="45"/>
      <c r="I53" s="58">
        <v>17386</v>
      </c>
      <c r="J53" s="46"/>
      <c r="K53" s="43"/>
      <c r="L53" s="45"/>
      <c r="M53" s="45">
        <v>14103</v>
      </c>
      <c r="N53" s="46"/>
      <c r="O53" s="43"/>
      <c r="P53" s="55"/>
      <c r="Q53" s="46">
        <v>31489</v>
      </c>
      <c r="R53" s="43"/>
      <c r="S53" s="55"/>
      <c r="T53" s="55"/>
      <c r="U53" s="46"/>
    </row>
    <row r="54" spans="1:21" s="37" customFormat="1" x14ac:dyDescent="0.2">
      <c r="A54" s="40" t="s">
        <v>73</v>
      </c>
      <c r="B54" s="43"/>
      <c r="C54" s="43"/>
      <c r="D54" s="43"/>
      <c r="E54" s="43"/>
      <c r="F54" s="43"/>
      <c r="G54" s="44"/>
      <c r="H54" s="45">
        <v>74216</v>
      </c>
      <c r="I54" s="58">
        <v>26568</v>
      </c>
      <c r="J54" s="46"/>
      <c r="K54" s="43"/>
      <c r="L54" s="45">
        <v>45300</v>
      </c>
      <c r="M54" s="45">
        <v>20737</v>
      </c>
      <c r="N54" s="46"/>
      <c r="O54" s="43">
        <v>61744</v>
      </c>
      <c r="P54" s="55">
        <v>904</v>
      </c>
      <c r="Q54" s="46">
        <v>48209</v>
      </c>
      <c r="R54" s="43"/>
      <c r="S54" s="55"/>
      <c r="T54" s="55"/>
      <c r="U54" s="46"/>
    </row>
    <row r="55" spans="1:21" s="37" customFormat="1" ht="25.5" x14ac:dyDescent="0.2">
      <c r="A55" s="40" t="s">
        <v>74</v>
      </c>
      <c r="B55" s="43"/>
      <c r="C55" s="43"/>
      <c r="D55" s="43"/>
      <c r="E55" s="43"/>
      <c r="F55" s="43"/>
      <c r="G55" s="44"/>
      <c r="H55" s="45">
        <v>35734</v>
      </c>
      <c r="I55" s="58">
        <v>4016</v>
      </c>
      <c r="J55" s="46"/>
      <c r="K55" s="43"/>
      <c r="L55" s="45">
        <v>25770</v>
      </c>
      <c r="M55" s="45"/>
      <c r="N55" s="46">
        <v>4016</v>
      </c>
      <c r="O55" s="43"/>
      <c r="P55" s="55"/>
      <c r="Q55" s="46"/>
      <c r="R55" s="43"/>
      <c r="S55" s="55"/>
      <c r="T55" s="55"/>
      <c r="U55" s="46"/>
    </row>
    <row r="56" spans="1:21" s="37" customFormat="1" ht="15" x14ac:dyDescent="0.25">
      <c r="A56" s="40" t="s">
        <v>75</v>
      </c>
      <c r="B56" s="43"/>
      <c r="C56" s="43"/>
      <c r="D56" s="43"/>
      <c r="E56" s="43"/>
      <c r="F56" s="43"/>
      <c r="G56" s="44"/>
      <c r="H56" s="45"/>
      <c r="I56" s="58">
        <v>13340</v>
      </c>
      <c r="J56" s="46"/>
      <c r="K56" s="43"/>
      <c r="L56" s="45"/>
      <c r="M56" s="103">
        <v>6767</v>
      </c>
      <c r="N56" s="46"/>
      <c r="O56" s="43"/>
      <c r="P56" s="55"/>
      <c r="Q56" s="46">
        <v>20107</v>
      </c>
      <c r="R56" s="43"/>
      <c r="S56" s="55"/>
      <c r="T56" s="55"/>
      <c r="U56" s="46"/>
    </row>
    <row r="57" spans="1:21" s="37" customFormat="1" x14ac:dyDescent="0.2">
      <c r="A57" s="40" t="s">
        <v>76</v>
      </c>
      <c r="B57" s="43"/>
      <c r="C57" s="43"/>
      <c r="D57" s="43"/>
      <c r="E57" s="43"/>
      <c r="F57" s="43"/>
      <c r="G57" s="44"/>
      <c r="H57" s="45"/>
      <c r="I57" s="58"/>
      <c r="J57" s="46"/>
      <c r="K57" s="43"/>
      <c r="L57" s="45"/>
      <c r="M57" s="9">
        <v>1750</v>
      </c>
      <c r="N57" s="46"/>
      <c r="O57" s="43"/>
      <c r="P57" s="55">
        <v>1750</v>
      </c>
      <c r="Q57" s="46">
        <v>3500</v>
      </c>
      <c r="R57" s="43"/>
      <c r="S57" s="55"/>
      <c r="T57" s="55"/>
      <c r="U57" s="46"/>
    </row>
    <row r="58" spans="1:21" ht="25.5" x14ac:dyDescent="0.2">
      <c r="A58" s="18" t="s">
        <v>23</v>
      </c>
      <c r="B58" s="23"/>
      <c r="C58" s="23"/>
      <c r="D58" s="23"/>
      <c r="E58" s="23"/>
      <c r="F58" s="23">
        <v>38.97</v>
      </c>
      <c r="G58" s="6"/>
      <c r="H58" s="6">
        <f>60500+68500</f>
        <v>129000</v>
      </c>
      <c r="I58" s="59">
        <v>65000</v>
      </c>
      <c r="J58" s="24">
        <v>65000</v>
      </c>
      <c r="K58" s="47"/>
      <c r="L58" s="6">
        <f>181761-15761</f>
        <v>166000</v>
      </c>
      <c r="M58" s="7"/>
      <c r="N58" s="24"/>
      <c r="O58" s="23">
        <v>0</v>
      </c>
      <c r="P58" s="56"/>
      <c r="Q58" s="24"/>
      <c r="R58" s="23"/>
      <c r="S58" s="56"/>
      <c r="T58" s="56"/>
      <c r="U58" s="24"/>
    </row>
    <row r="59" spans="1:21" x14ac:dyDescent="0.2">
      <c r="A59" s="18" t="s">
        <v>151</v>
      </c>
      <c r="B59" s="23"/>
      <c r="C59" s="23"/>
      <c r="D59" s="23"/>
      <c r="E59" s="23"/>
      <c r="F59" s="23"/>
      <c r="G59" s="6"/>
      <c r="H59" s="6">
        <v>10000</v>
      </c>
      <c r="I59" s="59"/>
      <c r="J59" s="24"/>
      <c r="K59" s="47"/>
      <c r="L59" s="6"/>
      <c r="M59" s="62"/>
      <c r="N59" s="24"/>
      <c r="O59" s="23"/>
      <c r="P59" s="56"/>
      <c r="Q59" s="24"/>
      <c r="R59" s="23"/>
      <c r="S59" s="56"/>
      <c r="T59" s="56"/>
      <c r="U59" s="24"/>
    </row>
    <row r="60" spans="1:21" x14ac:dyDescent="0.2">
      <c r="A60" s="18" t="s">
        <v>24</v>
      </c>
      <c r="B60" s="23"/>
      <c r="C60" s="23"/>
      <c r="D60" s="23"/>
      <c r="E60" s="23"/>
      <c r="F60" s="23"/>
      <c r="G60" s="6"/>
      <c r="H60" s="6">
        <v>30452</v>
      </c>
      <c r="I60" s="59"/>
      <c r="J60" s="24"/>
      <c r="K60" s="47"/>
      <c r="L60" s="6">
        <v>62206</v>
      </c>
      <c r="M60" s="58">
        <v>37794</v>
      </c>
      <c r="N60" s="46">
        <v>37794</v>
      </c>
      <c r="O60" s="23">
        <v>25698</v>
      </c>
      <c r="P60" s="56"/>
      <c r="Q60" s="24"/>
      <c r="R60" s="23"/>
      <c r="S60" s="56"/>
      <c r="T60" s="56"/>
      <c r="U60" s="24"/>
    </row>
    <row r="61" spans="1:21" ht="25.5" x14ac:dyDescent="0.2">
      <c r="A61" s="87" t="s">
        <v>160</v>
      </c>
      <c r="B61" s="23"/>
      <c r="C61" s="23"/>
      <c r="D61" s="23"/>
      <c r="E61" s="23"/>
      <c r="F61" s="23"/>
      <c r="G61" s="6"/>
      <c r="H61" s="6">
        <v>7800</v>
      </c>
      <c r="I61" s="59"/>
      <c r="J61" s="24"/>
      <c r="K61" s="47"/>
      <c r="L61" s="6">
        <v>5700</v>
      </c>
      <c r="M61" s="7"/>
      <c r="N61" s="24"/>
      <c r="O61" s="23"/>
      <c r="P61" s="56"/>
      <c r="Q61" s="24"/>
      <c r="R61" s="23"/>
      <c r="S61" s="56"/>
      <c r="T61" s="56"/>
      <c r="U61" s="24"/>
    </row>
    <row r="62" spans="1:21" s="8" customFormat="1" x14ac:dyDescent="0.2">
      <c r="A62" s="17" t="s">
        <v>30</v>
      </c>
      <c r="B62" s="25">
        <f t="shared" ref="B62:U62" si="2">SUM(B50:B61)</f>
        <v>0</v>
      </c>
      <c r="C62" s="25">
        <f t="shared" si="2"/>
        <v>0</v>
      </c>
      <c r="D62" s="25">
        <f t="shared" si="2"/>
        <v>27131.74</v>
      </c>
      <c r="E62" s="25">
        <f t="shared" si="2"/>
        <v>0</v>
      </c>
      <c r="F62" s="25">
        <f t="shared" si="2"/>
        <v>38.97</v>
      </c>
      <c r="G62" s="25">
        <f t="shared" si="2"/>
        <v>0</v>
      </c>
      <c r="H62" s="25">
        <f t="shared" si="2"/>
        <v>287202</v>
      </c>
      <c r="I62" s="25">
        <f t="shared" si="2"/>
        <v>157613.78</v>
      </c>
      <c r="J62" s="25">
        <f t="shared" si="2"/>
        <v>65000</v>
      </c>
      <c r="K62" s="25">
        <f t="shared" si="2"/>
        <v>0</v>
      </c>
      <c r="L62" s="25">
        <f t="shared" si="2"/>
        <v>304976</v>
      </c>
      <c r="M62" s="25">
        <f t="shared" si="2"/>
        <v>81151</v>
      </c>
      <c r="N62" s="25">
        <f t="shared" si="2"/>
        <v>100245.52</v>
      </c>
      <c r="O62" s="25">
        <f t="shared" si="2"/>
        <v>87442</v>
      </c>
      <c r="P62" s="25">
        <f t="shared" si="2"/>
        <v>2654</v>
      </c>
      <c r="Q62" s="25">
        <f t="shared" si="2"/>
        <v>103305</v>
      </c>
      <c r="R62" s="25">
        <f t="shared" si="2"/>
        <v>0</v>
      </c>
      <c r="S62" s="25">
        <f t="shared" si="2"/>
        <v>0</v>
      </c>
      <c r="T62" s="25">
        <f t="shared" si="2"/>
        <v>0</v>
      </c>
      <c r="U62" s="25">
        <f t="shared" si="2"/>
        <v>0</v>
      </c>
    </row>
    <row r="63" spans="1:21" s="37" customFormat="1" x14ac:dyDescent="0.2">
      <c r="A63" s="38" t="s">
        <v>102</v>
      </c>
      <c r="B63" s="43"/>
      <c r="C63" s="43"/>
      <c r="D63" s="43"/>
      <c r="E63" s="43"/>
      <c r="F63" s="43"/>
      <c r="G63" s="44"/>
      <c r="H63" s="45"/>
      <c r="I63" s="58"/>
      <c r="J63" s="46"/>
      <c r="K63" s="43"/>
      <c r="L63" s="45"/>
      <c r="M63" s="58">
        <v>6000</v>
      </c>
      <c r="N63" s="46"/>
      <c r="O63" s="43"/>
      <c r="P63" s="55">
        <v>14200</v>
      </c>
      <c r="Q63" s="46">
        <v>20200</v>
      </c>
      <c r="R63" s="43"/>
      <c r="S63" s="55"/>
      <c r="T63" s="55"/>
      <c r="U63" s="46"/>
    </row>
    <row r="64" spans="1:21" s="37" customFormat="1" x14ac:dyDescent="0.2">
      <c r="A64" s="38" t="s">
        <v>103</v>
      </c>
      <c r="B64" s="43"/>
      <c r="C64" s="43"/>
      <c r="D64" s="43">
        <v>1730.77</v>
      </c>
      <c r="E64" s="43"/>
      <c r="F64" s="43"/>
      <c r="G64" s="44"/>
      <c r="H64" s="45"/>
      <c r="I64" s="58">
        <f>4250+509.3</f>
        <v>4759.3</v>
      </c>
      <c r="J64" s="46">
        <v>6490</v>
      </c>
      <c r="K64" s="43"/>
      <c r="L64" s="45"/>
      <c r="M64" s="58"/>
      <c r="N64" s="46"/>
      <c r="O64" s="43"/>
      <c r="P64" s="55"/>
      <c r="Q64" s="46"/>
      <c r="R64" s="43"/>
      <c r="S64" s="55"/>
      <c r="T64" s="55"/>
      <c r="U64" s="46"/>
    </row>
    <row r="65" spans="1:21" s="37" customFormat="1" x14ac:dyDescent="0.2">
      <c r="A65" s="38" t="s">
        <v>104</v>
      </c>
      <c r="B65" s="43"/>
      <c r="C65" s="43"/>
      <c r="D65" s="43">
        <v>2331.21</v>
      </c>
      <c r="E65" s="43"/>
      <c r="F65" s="43"/>
      <c r="G65" s="44"/>
      <c r="H65" s="45"/>
      <c r="I65" s="58">
        <f>15750+9418.78</f>
        <v>25168.78</v>
      </c>
      <c r="J65" s="46">
        <v>27500</v>
      </c>
      <c r="K65" s="43"/>
      <c r="L65" s="45"/>
      <c r="M65" s="58"/>
      <c r="N65" s="46"/>
      <c r="O65" s="43"/>
      <c r="P65" s="55"/>
      <c r="Q65" s="46"/>
      <c r="R65" s="43"/>
      <c r="S65" s="55"/>
      <c r="T65" s="55"/>
      <c r="U65" s="46"/>
    </row>
    <row r="66" spans="1:21" s="37" customFormat="1" x14ac:dyDescent="0.2">
      <c r="A66" s="38" t="s">
        <v>105</v>
      </c>
      <c r="B66" s="43"/>
      <c r="C66" s="43"/>
      <c r="D66" s="43">
        <v>3264.72</v>
      </c>
      <c r="E66" s="43"/>
      <c r="F66" s="43"/>
      <c r="G66" s="44"/>
      <c r="H66" s="45"/>
      <c r="I66" s="58">
        <f>2169+2175.17</f>
        <v>4344.17</v>
      </c>
      <c r="J66" s="46">
        <v>7500</v>
      </c>
      <c r="K66" s="43"/>
      <c r="L66" s="45"/>
      <c r="M66" s="58"/>
      <c r="N66" s="46"/>
      <c r="O66" s="43"/>
      <c r="P66" s="55"/>
      <c r="Q66" s="46"/>
      <c r="R66" s="43"/>
      <c r="S66" s="55"/>
      <c r="T66" s="55"/>
      <c r="U66" s="46"/>
    </row>
    <row r="67" spans="1:21" s="37" customFormat="1" ht="25.5" x14ac:dyDescent="0.2">
      <c r="A67" s="38" t="s">
        <v>106</v>
      </c>
      <c r="B67" s="43"/>
      <c r="C67" s="43"/>
      <c r="D67" s="43">
        <v>1152.77</v>
      </c>
      <c r="E67" s="43"/>
      <c r="F67" s="43"/>
      <c r="G67" s="44"/>
      <c r="H67" s="45"/>
      <c r="I67" s="58">
        <v>6347.22</v>
      </c>
      <c r="J67" s="46">
        <v>7500</v>
      </c>
      <c r="K67" s="43"/>
      <c r="L67" s="45"/>
      <c r="M67" s="58"/>
      <c r="N67" s="46"/>
      <c r="O67" s="43"/>
      <c r="P67" s="55"/>
      <c r="Q67" s="46"/>
      <c r="R67" s="43"/>
      <c r="S67" s="55"/>
      <c r="T67" s="55"/>
      <c r="U67" s="46"/>
    </row>
    <row r="68" spans="1:21" s="37" customFormat="1" x14ac:dyDescent="0.2">
      <c r="A68" s="38" t="s">
        <v>107</v>
      </c>
      <c r="B68" s="43"/>
      <c r="C68" s="43"/>
      <c r="D68" s="43"/>
      <c r="E68" s="43"/>
      <c r="F68" s="43"/>
      <c r="G68" s="44"/>
      <c r="H68" s="45">
        <v>0</v>
      </c>
      <c r="I68" s="58">
        <v>6300</v>
      </c>
      <c r="J68" s="46"/>
      <c r="K68" s="43"/>
      <c r="L68" s="45"/>
      <c r="M68" s="58">
        <v>12100</v>
      </c>
      <c r="N68" s="46"/>
      <c r="O68" s="43"/>
      <c r="P68" s="55"/>
      <c r="Q68" s="46">
        <v>18400</v>
      </c>
      <c r="R68" s="43"/>
      <c r="S68" s="55"/>
      <c r="T68" s="55"/>
      <c r="U68" s="46"/>
    </row>
    <row r="69" spans="1:21" s="37" customFormat="1" x14ac:dyDescent="0.2">
      <c r="A69" s="38" t="s">
        <v>108</v>
      </c>
      <c r="B69" s="43"/>
      <c r="C69" s="43"/>
      <c r="D69" s="43"/>
      <c r="E69" s="43"/>
      <c r="F69" s="43"/>
      <c r="G69" s="44"/>
      <c r="H69" s="45">
        <v>0</v>
      </c>
      <c r="I69" s="58">
        <v>0</v>
      </c>
      <c r="J69" s="46"/>
      <c r="K69" s="43"/>
      <c r="L69" s="45"/>
      <c r="M69" s="58">
        <v>4200</v>
      </c>
      <c r="N69" s="46"/>
      <c r="O69" s="43"/>
      <c r="P69" s="55">
        <v>12400</v>
      </c>
      <c r="Q69" s="46">
        <v>16600</v>
      </c>
      <c r="R69" s="43"/>
      <c r="S69" s="55"/>
      <c r="T69" s="55"/>
      <c r="U69" s="46"/>
    </row>
    <row r="70" spans="1:21" s="37" customFormat="1" ht="25.5" x14ac:dyDescent="0.2">
      <c r="A70" s="39" t="s">
        <v>77</v>
      </c>
      <c r="B70" s="43"/>
      <c r="C70" s="43"/>
      <c r="D70" s="43"/>
      <c r="E70" s="43">
        <v>15545.26</v>
      </c>
      <c r="F70" s="43"/>
      <c r="G70" s="44"/>
      <c r="H70" s="45"/>
      <c r="I70" s="58"/>
      <c r="J70" s="46"/>
      <c r="K70" s="43"/>
      <c r="L70" s="45"/>
      <c r="M70" s="58"/>
      <c r="N70" s="46"/>
      <c r="O70" s="43"/>
      <c r="P70" s="55"/>
      <c r="Q70" s="46"/>
      <c r="R70" s="43"/>
      <c r="S70" s="55"/>
      <c r="T70" s="55"/>
      <c r="U70" s="46"/>
    </row>
    <row r="71" spans="1:21" s="37" customFormat="1" ht="25.5" x14ac:dyDescent="0.2">
      <c r="A71" s="39" t="s">
        <v>79</v>
      </c>
      <c r="B71" s="43"/>
      <c r="C71" s="43"/>
      <c r="D71" s="43">
        <v>1156.56</v>
      </c>
      <c r="E71" s="43">
        <v>11447.35</v>
      </c>
      <c r="F71" s="43"/>
      <c r="G71" s="44"/>
      <c r="H71" s="45"/>
      <c r="I71" s="58"/>
      <c r="J71" s="46"/>
      <c r="K71" s="43"/>
      <c r="L71" s="45"/>
      <c r="M71" s="58"/>
      <c r="N71" s="46"/>
      <c r="O71" s="43"/>
      <c r="P71" s="55"/>
      <c r="Q71" s="46"/>
      <c r="R71" s="43"/>
      <c r="S71" s="55"/>
      <c r="T71" s="55"/>
      <c r="U71" s="46"/>
    </row>
    <row r="72" spans="1:21" s="37" customFormat="1" x14ac:dyDescent="0.2">
      <c r="A72" s="39" t="s">
        <v>78</v>
      </c>
      <c r="B72" s="43"/>
      <c r="C72" s="43"/>
      <c r="D72" s="43"/>
      <c r="E72" s="43"/>
      <c r="F72" s="43"/>
      <c r="G72" s="44"/>
      <c r="H72" s="45"/>
      <c r="I72" s="58"/>
      <c r="J72" s="46"/>
      <c r="K72" s="43"/>
      <c r="L72" s="45"/>
      <c r="M72" s="58"/>
      <c r="N72" s="46"/>
      <c r="O72" s="43"/>
      <c r="P72" s="55"/>
      <c r="Q72" s="46"/>
      <c r="R72" s="43"/>
      <c r="S72" s="55"/>
      <c r="T72" s="55"/>
      <c r="U72" s="46"/>
    </row>
    <row r="73" spans="1:21" s="37" customFormat="1" x14ac:dyDescent="0.2">
      <c r="A73" s="39" t="s">
        <v>80</v>
      </c>
      <c r="B73" s="43"/>
      <c r="C73" s="43"/>
      <c r="D73" s="43">
        <v>2148.46</v>
      </c>
      <c r="E73" s="43"/>
      <c r="F73" s="43"/>
      <c r="G73" s="44"/>
      <c r="H73" s="45"/>
      <c r="I73" s="58">
        <f>5292+3701.2</f>
        <v>8993.2000000000007</v>
      </c>
      <c r="J73" s="46">
        <v>11141.67</v>
      </c>
      <c r="K73" s="43"/>
      <c r="L73" s="45"/>
      <c r="M73" s="58"/>
      <c r="N73" s="46"/>
      <c r="O73" s="43"/>
      <c r="P73" s="55"/>
      <c r="Q73" s="46"/>
      <c r="R73" s="43"/>
      <c r="S73" s="55"/>
      <c r="T73" s="55"/>
      <c r="U73" s="46"/>
    </row>
    <row r="74" spans="1:21" s="37" customFormat="1" ht="25.5" x14ac:dyDescent="0.2">
      <c r="A74" s="39" t="s">
        <v>81</v>
      </c>
      <c r="B74" s="43"/>
      <c r="C74" s="43"/>
      <c r="D74" s="43"/>
      <c r="E74" s="43"/>
      <c r="F74" s="43"/>
      <c r="G74" s="44"/>
      <c r="H74" s="45"/>
      <c r="I74" s="58"/>
      <c r="J74" s="46"/>
      <c r="K74" s="43"/>
      <c r="L74" s="45"/>
      <c r="M74" s="58">
        <v>3473</v>
      </c>
      <c r="N74" s="46"/>
      <c r="O74" s="43"/>
      <c r="P74" s="55"/>
      <c r="Q74" s="46">
        <v>3473</v>
      </c>
      <c r="R74" s="43"/>
      <c r="S74" s="55"/>
      <c r="T74" s="55"/>
      <c r="U74" s="46"/>
    </row>
    <row r="75" spans="1:21" s="37" customFormat="1" x14ac:dyDescent="0.2">
      <c r="A75" s="39" t="s">
        <v>82</v>
      </c>
      <c r="B75" s="43"/>
      <c r="C75" s="43"/>
      <c r="D75" s="43"/>
      <c r="E75" s="43"/>
      <c r="F75" s="43"/>
      <c r="G75" s="44"/>
      <c r="H75" s="45"/>
      <c r="I75" s="58"/>
      <c r="J75" s="46"/>
      <c r="K75" s="43"/>
      <c r="L75" s="45"/>
      <c r="M75" s="58">
        <v>4096</v>
      </c>
      <c r="N75" s="46"/>
      <c r="O75" s="43"/>
      <c r="P75" s="55"/>
      <c r="Q75" s="46">
        <v>4096</v>
      </c>
      <c r="R75" s="43"/>
      <c r="S75" s="55"/>
      <c r="T75" s="55"/>
      <c r="U75" s="46"/>
    </row>
    <row r="76" spans="1:21" s="37" customFormat="1" x14ac:dyDescent="0.2">
      <c r="A76" s="39" t="s">
        <v>83</v>
      </c>
      <c r="B76" s="43"/>
      <c r="C76" s="43"/>
      <c r="D76" s="43"/>
      <c r="E76" s="43"/>
      <c r="F76" s="43"/>
      <c r="G76" s="44"/>
      <c r="H76" s="45"/>
      <c r="I76" s="58"/>
      <c r="J76" s="46"/>
      <c r="K76" s="43"/>
      <c r="L76" s="45"/>
      <c r="M76" s="58">
        <v>3819</v>
      </c>
      <c r="N76" s="46"/>
      <c r="O76" s="43"/>
      <c r="P76" s="55"/>
      <c r="Q76" s="46">
        <v>3819</v>
      </c>
      <c r="R76" s="43"/>
      <c r="S76" s="55"/>
      <c r="T76" s="55"/>
      <c r="U76" s="46"/>
    </row>
    <row r="77" spans="1:21" s="37" customFormat="1" x14ac:dyDescent="0.2">
      <c r="A77" s="39" t="s">
        <v>84</v>
      </c>
      <c r="B77" s="43"/>
      <c r="C77" s="43"/>
      <c r="D77" s="43"/>
      <c r="E77" s="43"/>
      <c r="F77" s="43"/>
      <c r="G77" s="44"/>
      <c r="H77" s="45"/>
      <c r="I77" s="58"/>
      <c r="J77" s="46"/>
      <c r="K77" s="43"/>
      <c r="L77" s="45"/>
      <c r="M77" s="58">
        <v>7264</v>
      </c>
      <c r="N77" s="46"/>
      <c r="O77" s="43"/>
      <c r="P77" s="55"/>
      <c r="Q77" s="46">
        <v>7264</v>
      </c>
      <c r="R77" s="43"/>
      <c r="S77" s="55"/>
      <c r="T77" s="55"/>
      <c r="U77" s="46"/>
    </row>
    <row r="78" spans="1:21" s="37" customFormat="1" x14ac:dyDescent="0.2">
      <c r="A78" s="39" t="s">
        <v>85</v>
      </c>
      <c r="B78" s="43"/>
      <c r="C78" s="43"/>
      <c r="D78" s="43"/>
      <c r="E78" s="43"/>
      <c r="F78" s="43"/>
      <c r="G78" s="44"/>
      <c r="H78" s="45"/>
      <c r="I78" s="58"/>
      <c r="J78" s="46"/>
      <c r="K78" s="43"/>
      <c r="L78" s="45"/>
      <c r="M78" s="58">
        <v>12270</v>
      </c>
      <c r="N78" s="46"/>
      <c r="O78" s="43"/>
      <c r="P78" s="55"/>
      <c r="Q78" s="46">
        <v>12270</v>
      </c>
      <c r="R78" s="43"/>
      <c r="S78" s="55"/>
      <c r="T78" s="55"/>
      <c r="U78" s="46"/>
    </row>
    <row r="79" spans="1:21" s="37" customFormat="1" x14ac:dyDescent="0.2">
      <c r="A79" s="39" t="s">
        <v>86</v>
      </c>
      <c r="B79" s="43"/>
      <c r="C79" s="43"/>
      <c r="D79" s="43"/>
      <c r="E79" s="43"/>
      <c r="F79" s="43"/>
      <c r="G79" s="44"/>
      <c r="H79" s="45"/>
      <c r="I79" s="58"/>
      <c r="J79" s="46"/>
      <c r="K79" s="43"/>
      <c r="L79" s="45"/>
      <c r="M79" s="58">
        <v>1561</v>
      </c>
      <c r="N79" s="46"/>
      <c r="O79" s="43"/>
      <c r="P79" s="55"/>
      <c r="Q79" s="46">
        <v>1561</v>
      </c>
      <c r="R79" s="43"/>
      <c r="S79" s="55"/>
      <c r="T79" s="55"/>
      <c r="U79" s="46"/>
    </row>
    <row r="80" spans="1:21" s="37" customFormat="1" x14ac:dyDescent="0.2">
      <c r="A80" s="39" t="s">
        <v>87</v>
      </c>
      <c r="B80" s="43"/>
      <c r="C80" s="43"/>
      <c r="D80" s="43"/>
      <c r="E80" s="43"/>
      <c r="F80" s="43"/>
      <c r="G80" s="44"/>
      <c r="H80" s="45"/>
      <c r="I80" s="58"/>
      <c r="J80" s="46"/>
      <c r="K80" s="43"/>
      <c r="L80" s="45"/>
      <c r="M80" s="58">
        <v>7683</v>
      </c>
      <c r="N80" s="46"/>
      <c r="O80" s="43"/>
      <c r="P80" s="55"/>
      <c r="Q80" s="46">
        <v>7683</v>
      </c>
      <c r="R80" s="43"/>
      <c r="S80" s="55"/>
      <c r="T80" s="55"/>
      <c r="U80" s="46"/>
    </row>
    <row r="81" spans="1:21" s="37" customFormat="1" x14ac:dyDescent="0.2">
      <c r="A81" s="39" t="s">
        <v>88</v>
      </c>
      <c r="B81" s="43"/>
      <c r="C81" s="43"/>
      <c r="D81" s="43"/>
      <c r="E81" s="43"/>
      <c r="F81" s="43"/>
      <c r="G81" s="44"/>
      <c r="H81" s="45"/>
      <c r="I81" s="58"/>
      <c r="J81" s="46"/>
      <c r="K81" s="43"/>
      <c r="L81" s="45"/>
      <c r="M81" s="58">
        <v>10928</v>
      </c>
      <c r="N81" s="46"/>
      <c r="O81" s="43"/>
      <c r="P81" s="55"/>
      <c r="Q81" s="46">
        <v>10928</v>
      </c>
      <c r="R81" s="43"/>
      <c r="S81" s="55"/>
      <c r="T81" s="55"/>
      <c r="U81" s="46"/>
    </row>
    <row r="82" spans="1:21" s="37" customFormat="1" x14ac:dyDescent="0.2">
      <c r="A82" s="39" t="s">
        <v>89</v>
      </c>
      <c r="B82" s="43"/>
      <c r="C82" s="43"/>
      <c r="D82" s="43"/>
      <c r="E82" s="43"/>
      <c r="F82" s="43"/>
      <c r="G82" s="44"/>
      <c r="H82" s="45"/>
      <c r="I82" s="58"/>
      <c r="J82" s="46"/>
      <c r="K82" s="43"/>
      <c r="L82" s="45"/>
      <c r="M82" s="58">
        <v>3356</v>
      </c>
      <c r="N82" s="46"/>
      <c r="O82" s="43"/>
      <c r="P82" s="55"/>
      <c r="Q82" s="46">
        <v>3356</v>
      </c>
      <c r="R82" s="43"/>
      <c r="S82" s="55"/>
      <c r="T82" s="55"/>
      <c r="U82" s="46"/>
    </row>
    <row r="83" spans="1:21" s="37" customFormat="1" x14ac:dyDescent="0.2">
      <c r="A83" s="39" t="s">
        <v>90</v>
      </c>
      <c r="B83" s="43"/>
      <c r="C83" s="43"/>
      <c r="D83" s="43"/>
      <c r="E83" s="43"/>
      <c r="F83" s="43"/>
      <c r="G83" s="44"/>
      <c r="H83" s="45"/>
      <c r="I83" s="58"/>
      <c r="J83" s="46"/>
      <c r="K83" s="43"/>
      <c r="L83" s="45"/>
      <c r="M83" s="58">
        <v>2380</v>
      </c>
      <c r="N83" s="46"/>
      <c r="O83" s="43"/>
      <c r="P83" s="55"/>
      <c r="Q83" s="46">
        <v>2380</v>
      </c>
      <c r="R83" s="43"/>
      <c r="S83" s="55"/>
      <c r="T83" s="55"/>
      <c r="U83" s="46"/>
    </row>
    <row r="84" spans="1:21" s="37" customFormat="1" x14ac:dyDescent="0.2">
      <c r="A84" s="39" t="s">
        <v>155</v>
      </c>
      <c r="B84" s="43"/>
      <c r="C84" s="43"/>
      <c r="D84" s="43"/>
      <c r="E84" s="43"/>
      <c r="F84" s="43"/>
      <c r="G84" s="44"/>
      <c r="H84" s="45"/>
      <c r="I84" s="58"/>
      <c r="J84" s="46"/>
      <c r="K84" s="102"/>
      <c r="L84" s="102"/>
      <c r="M84" s="58">
        <v>4800</v>
      </c>
      <c r="N84" s="46">
        <v>4800</v>
      </c>
      <c r="O84" s="43"/>
      <c r="P84" s="55"/>
      <c r="Q84" s="46"/>
      <c r="R84" s="43"/>
      <c r="S84" s="55"/>
      <c r="T84" s="55"/>
      <c r="U84" s="46"/>
    </row>
    <row r="85" spans="1:21" s="37" customFormat="1" x14ac:dyDescent="0.2">
      <c r="A85" s="39" t="s">
        <v>156</v>
      </c>
      <c r="B85" s="43"/>
      <c r="C85" s="43"/>
      <c r="D85" s="43"/>
      <c r="E85" s="43"/>
      <c r="F85" s="43"/>
      <c r="G85" s="44"/>
      <c r="H85" s="45"/>
      <c r="I85" s="58"/>
      <c r="J85" s="46"/>
      <c r="K85" s="102"/>
      <c r="L85" s="102"/>
      <c r="M85" s="58">
        <v>3800</v>
      </c>
      <c r="N85" s="46">
        <v>3800</v>
      </c>
      <c r="O85" s="43"/>
      <c r="P85" s="55"/>
      <c r="Q85" s="46"/>
      <c r="R85" s="43"/>
      <c r="S85" s="55"/>
      <c r="T85" s="55"/>
      <c r="U85" s="46"/>
    </row>
    <row r="86" spans="1:21" s="37" customFormat="1" ht="25.5" x14ac:dyDescent="0.2">
      <c r="A86" s="39" t="s">
        <v>157</v>
      </c>
      <c r="B86" s="43"/>
      <c r="C86" s="43"/>
      <c r="D86" s="43"/>
      <c r="E86" s="43"/>
      <c r="F86" s="43"/>
      <c r="G86" s="44"/>
      <c r="H86" s="45"/>
      <c r="I86" s="58"/>
      <c r="J86" s="46"/>
      <c r="K86" s="102"/>
      <c r="L86" s="102"/>
      <c r="M86" s="58">
        <v>3800</v>
      </c>
      <c r="N86" s="46">
        <v>3800</v>
      </c>
      <c r="O86" s="43"/>
      <c r="P86" s="55"/>
      <c r="Q86" s="46"/>
      <c r="R86" s="43"/>
      <c r="S86" s="55"/>
      <c r="T86" s="55"/>
      <c r="U86" s="46"/>
    </row>
    <row r="87" spans="1:21" s="37" customFormat="1" x14ac:dyDescent="0.2">
      <c r="A87" s="39" t="s">
        <v>158</v>
      </c>
      <c r="B87" s="43"/>
      <c r="C87" s="43"/>
      <c r="D87" s="43"/>
      <c r="E87" s="43"/>
      <c r="F87" s="43"/>
      <c r="G87" s="44"/>
      <c r="H87" s="45"/>
      <c r="I87" s="58"/>
      <c r="J87" s="46"/>
      <c r="K87" s="102"/>
      <c r="L87" s="102"/>
      <c r="M87" s="58">
        <v>6800</v>
      </c>
      <c r="N87" s="46">
        <v>6800</v>
      </c>
      <c r="O87" s="43"/>
      <c r="P87" s="55"/>
      <c r="Q87" s="46"/>
      <c r="R87" s="43"/>
      <c r="S87" s="55"/>
      <c r="T87" s="55"/>
      <c r="U87" s="46"/>
    </row>
    <row r="88" spans="1:21" s="37" customFormat="1" ht="25.5" x14ac:dyDescent="0.2">
      <c r="A88" s="39" t="s">
        <v>159</v>
      </c>
      <c r="B88" s="43"/>
      <c r="C88" s="43"/>
      <c r="D88" s="43"/>
      <c r="E88" s="43"/>
      <c r="F88" s="43"/>
      <c r="G88" s="44"/>
      <c r="H88" s="45"/>
      <c r="I88" s="58"/>
      <c r="J88" s="46"/>
      <c r="K88" s="102"/>
      <c r="L88" s="102"/>
      <c r="M88" s="58">
        <v>3300</v>
      </c>
      <c r="N88" s="46">
        <v>3300</v>
      </c>
      <c r="O88" s="43"/>
      <c r="P88" s="55"/>
      <c r="Q88" s="46"/>
      <c r="R88" s="43"/>
      <c r="S88" s="55"/>
      <c r="T88" s="55"/>
      <c r="U88" s="46"/>
    </row>
    <row r="89" spans="1:21" x14ac:dyDescent="0.2">
      <c r="A89" s="16" t="s">
        <v>7</v>
      </c>
      <c r="B89" s="23"/>
      <c r="C89" s="23"/>
      <c r="D89" s="23"/>
      <c r="E89" s="23"/>
      <c r="F89" s="23">
        <v>162175.28</v>
      </c>
      <c r="G89" s="6"/>
      <c r="H89" s="6">
        <v>22700</v>
      </c>
      <c r="I89" s="59"/>
      <c r="J89" s="24"/>
      <c r="K89" s="23"/>
      <c r="L89" s="6">
        <v>500</v>
      </c>
      <c r="M89" s="59"/>
      <c r="N89" s="24"/>
      <c r="O89" s="23"/>
      <c r="P89" s="56"/>
      <c r="Q89" s="24"/>
      <c r="R89" s="23"/>
      <c r="S89" s="56"/>
      <c r="T89" s="56"/>
      <c r="U89" s="24"/>
    </row>
    <row r="90" spans="1:21" x14ac:dyDescent="0.2">
      <c r="A90" s="16" t="s">
        <v>8</v>
      </c>
      <c r="B90" s="23"/>
      <c r="C90" s="23"/>
      <c r="D90" s="23"/>
      <c r="E90" s="23"/>
      <c r="F90" s="23"/>
      <c r="G90" s="6"/>
      <c r="H90" s="6">
        <v>17098</v>
      </c>
      <c r="I90" s="59"/>
      <c r="J90" s="24"/>
      <c r="K90" s="47"/>
      <c r="L90" s="6">
        <v>20000</v>
      </c>
      <c r="M90" s="59"/>
      <c r="N90" s="24"/>
      <c r="O90" s="23">
        <v>13500</v>
      </c>
      <c r="P90" s="56"/>
      <c r="Q90" s="24"/>
      <c r="R90" s="23"/>
      <c r="S90" s="56"/>
      <c r="T90" s="56"/>
      <c r="U90" s="24"/>
    </row>
    <row r="91" spans="1:21" x14ac:dyDescent="0.2">
      <c r="A91" s="16" t="s">
        <v>9</v>
      </c>
      <c r="B91" s="23"/>
      <c r="C91" s="23"/>
      <c r="D91" s="23"/>
      <c r="E91" s="23"/>
      <c r="F91" s="23"/>
      <c r="G91" s="6"/>
      <c r="H91" s="6">
        <v>5500</v>
      </c>
      <c r="I91" s="59"/>
      <c r="J91" s="24"/>
      <c r="K91" s="47"/>
      <c r="L91" s="6"/>
      <c r="M91" s="59"/>
      <c r="N91" s="24"/>
      <c r="O91" s="23"/>
      <c r="P91" s="56"/>
      <c r="Q91" s="24"/>
      <c r="R91" s="23"/>
      <c r="S91" s="56"/>
      <c r="T91" s="56"/>
      <c r="U91" s="24"/>
    </row>
    <row r="92" spans="1:21" x14ac:dyDescent="0.2">
      <c r="A92" s="16" t="s">
        <v>10</v>
      </c>
      <c r="B92" s="23"/>
      <c r="C92" s="23"/>
      <c r="D92" s="23"/>
      <c r="E92" s="23"/>
      <c r="F92" s="23"/>
      <c r="G92" s="6"/>
      <c r="H92" s="6">
        <v>30200</v>
      </c>
      <c r="I92" s="59"/>
      <c r="J92" s="24"/>
      <c r="K92" s="23"/>
      <c r="L92" s="6"/>
      <c r="M92" s="59"/>
      <c r="N92" s="24"/>
      <c r="O92" s="23"/>
      <c r="P92" s="56"/>
      <c r="Q92" s="24"/>
      <c r="R92" s="23"/>
      <c r="S92" s="56"/>
      <c r="T92" s="56"/>
      <c r="U92" s="24"/>
    </row>
    <row r="93" spans="1:21" x14ac:dyDescent="0.2">
      <c r="A93" s="16" t="s">
        <v>11</v>
      </c>
      <c r="B93" s="23"/>
      <c r="C93" s="23"/>
      <c r="D93" s="23"/>
      <c r="E93" s="23"/>
      <c r="F93" s="23"/>
      <c r="G93" s="6"/>
      <c r="H93" s="6">
        <v>15000</v>
      </c>
      <c r="I93" s="59"/>
      <c r="J93" s="24"/>
      <c r="K93" s="23"/>
      <c r="L93" s="6"/>
      <c r="M93" s="59"/>
      <c r="N93" s="24"/>
      <c r="O93" s="23"/>
      <c r="P93" s="56"/>
      <c r="Q93" s="24"/>
      <c r="R93" s="23"/>
      <c r="S93" s="56"/>
      <c r="T93" s="56"/>
      <c r="U93" s="24"/>
    </row>
    <row r="94" spans="1:21" x14ac:dyDescent="0.2">
      <c r="A94" s="16" t="s">
        <v>12</v>
      </c>
      <c r="B94" s="23"/>
      <c r="C94" s="23"/>
      <c r="D94" s="23"/>
      <c r="E94" s="23"/>
      <c r="F94" s="23"/>
      <c r="G94" s="6"/>
      <c r="H94" s="6">
        <v>52090</v>
      </c>
      <c r="I94" s="59"/>
      <c r="J94" s="24"/>
      <c r="K94" s="23"/>
      <c r="L94" s="6"/>
      <c r="M94" s="59"/>
      <c r="N94" s="24"/>
      <c r="O94" s="23"/>
      <c r="P94" s="56"/>
      <c r="Q94" s="24"/>
      <c r="R94" s="23"/>
      <c r="S94" s="56"/>
      <c r="T94" s="56"/>
      <c r="U94" s="24"/>
    </row>
    <row r="95" spans="1:21" x14ac:dyDescent="0.2">
      <c r="A95" s="16" t="s">
        <v>13</v>
      </c>
      <c r="B95" s="23"/>
      <c r="C95" s="23"/>
      <c r="D95" s="23"/>
      <c r="E95" s="23"/>
      <c r="F95" s="23"/>
      <c r="G95" s="6"/>
      <c r="H95" s="6">
        <v>20000</v>
      </c>
      <c r="I95" s="59"/>
      <c r="J95" s="24"/>
      <c r="K95" s="47"/>
      <c r="L95" s="6">
        <v>20000</v>
      </c>
      <c r="M95" s="59"/>
      <c r="N95" s="24"/>
      <c r="O95" s="23"/>
      <c r="P95" s="56"/>
      <c r="Q95" s="24"/>
      <c r="R95" s="23"/>
      <c r="S95" s="56"/>
      <c r="T95" s="56"/>
      <c r="U95" s="24"/>
    </row>
    <row r="96" spans="1:21" x14ac:dyDescent="0.2">
      <c r="A96" s="19" t="s">
        <v>14</v>
      </c>
      <c r="B96" s="23"/>
      <c r="C96" s="23"/>
      <c r="D96" s="23"/>
      <c r="E96" s="23"/>
      <c r="F96" s="23"/>
      <c r="G96" s="6"/>
      <c r="H96" s="6">
        <v>30000</v>
      </c>
      <c r="I96" s="59"/>
      <c r="J96" s="24"/>
      <c r="K96" s="47"/>
      <c r="L96" s="6">
        <v>21139</v>
      </c>
      <c r="M96" s="59"/>
      <c r="N96" s="24"/>
      <c r="O96" s="23"/>
      <c r="P96" s="56"/>
      <c r="Q96" s="24"/>
      <c r="R96" s="23"/>
      <c r="S96" s="56"/>
      <c r="T96" s="56"/>
      <c r="U96" s="24"/>
    </row>
    <row r="97" spans="1:21" x14ac:dyDescent="0.2">
      <c r="A97" s="16" t="s">
        <v>15</v>
      </c>
      <c r="B97" s="23"/>
      <c r="C97" s="23"/>
      <c r="D97" s="23"/>
      <c r="E97" s="23"/>
      <c r="F97" s="23"/>
      <c r="G97" s="6"/>
      <c r="H97" s="6">
        <v>62571</v>
      </c>
      <c r="I97" s="59"/>
      <c r="J97" s="24"/>
      <c r="K97" s="47"/>
      <c r="L97" s="6">
        <v>113428</v>
      </c>
      <c r="M97" s="59"/>
      <c r="N97" s="24"/>
      <c r="O97" s="23"/>
      <c r="P97" s="56"/>
      <c r="Q97" s="24"/>
      <c r="R97" s="23"/>
      <c r="S97" s="56"/>
      <c r="T97" s="56"/>
      <c r="U97" s="24"/>
    </row>
    <row r="98" spans="1:21" ht="25.5" x14ac:dyDescent="0.2">
      <c r="A98" s="16" t="s">
        <v>35</v>
      </c>
      <c r="B98" s="23"/>
      <c r="C98" s="23"/>
      <c r="D98" s="23"/>
      <c r="E98" s="23"/>
      <c r="F98" s="23"/>
      <c r="G98" s="6"/>
      <c r="H98" s="6">
        <v>6200</v>
      </c>
      <c r="I98" s="59"/>
      <c r="J98" s="24"/>
      <c r="K98" s="23"/>
      <c r="L98" s="6"/>
      <c r="M98" s="59"/>
      <c r="N98" s="24"/>
      <c r="O98" s="23"/>
      <c r="P98" s="56"/>
      <c r="Q98" s="24"/>
      <c r="R98" s="23"/>
      <c r="S98" s="56"/>
      <c r="T98" s="56"/>
      <c r="U98" s="24"/>
    </row>
    <row r="99" spans="1:21" x14ac:dyDescent="0.2">
      <c r="A99" s="16" t="s">
        <v>16</v>
      </c>
      <c r="B99" s="23"/>
      <c r="C99" s="23"/>
      <c r="D99" s="23"/>
      <c r="E99" s="23"/>
      <c r="F99" s="23"/>
      <c r="G99" s="6"/>
      <c r="H99" s="6">
        <v>5500</v>
      </c>
      <c r="I99" s="59"/>
      <c r="J99" s="24"/>
      <c r="K99" s="47"/>
      <c r="L99" s="6">
        <v>25000</v>
      </c>
      <c r="M99" s="59"/>
      <c r="N99" s="24"/>
      <c r="O99" s="23"/>
      <c r="P99" s="56"/>
      <c r="Q99" s="24"/>
      <c r="R99" s="23"/>
      <c r="S99" s="56"/>
      <c r="T99" s="56"/>
      <c r="U99" s="24"/>
    </row>
    <row r="100" spans="1:21" x14ac:dyDescent="0.2">
      <c r="A100" s="16" t="s">
        <v>17</v>
      </c>
      <c r="B100" s="23"/>
      <c r="C100" s="23"/>
      <c r="D100" s="23"/>
      <c r="E100" s="23"/>
      <c r="F100" s="23"/>
      <c r="G100" s="6"/>
      <c r="H100" s="6">
        <v>51000</v>
      </c>
      <c r="I100" s="59"/>
      <c r="J100" s="24"/>
      <c r="K100" s="23"/>
      <c r="L100" s="6"/>
      <c r="M100" s="59"/>
      <c r="N100" s="24"/>
      <c r="O100" s="23"/>
      <c r="P100" s="56"/>
      <c r="Q100" s="24"/>
      <c r="R100" s="23"/>
      <c r="S100" s="56"/>
      <c r="T100" s="56"/>
      <c r="U100" s="24"/>
    </row>
    <row r="101" spans="1:21" ht="38.25" x14ac:dyDescent="0.2">
      <c r="A101" s="16" t="s">
        <v>34</v>
      </c>
      <c r="B101" s="23"/>
      <c r="C101" s="23"/>
      <c r="D101" s="23"/>
      <c r="E101" s="23"/>
      <c r="F101" s="23"/>
      <c r="G101" s="6"/>
      <c r="H101" s="6">
        <v>38000</v>
      </c>
      <c r="I101" s="59"/>
      <c r="J101" s="24"/>
      <c r="K101" s="23"/>
      <c r="L101" s="6"/>
      <c r="M101" s="59"/>
      <c r="N101" s="24"/>
      <c r="O101" s="23"/>
      <c r="P101" s="56"/>
      <c r="Q101" s="24"/>
      <c r="R101" s="23"/>
      <c r="S101" s="56"/>
      <c r="T101" s="56"/>
      <c r="U101" s="24"/>
    </row>
    <row r="102" spans="1:21" x14ac:dyDescent="0.2">
      <c r="A102" s="16" t="s">
        <v>18</v>
      </c>
      <c r="B102" s="23"/>
      <c r="C102" s="23"/>
      <c r="D102" s="23"/>
      <c r="E102" s="23"/>
      <c r="F102" s="23"/>
      <c r="G102" s="6"/>
      <c r="H102" s="6">
        <v>15000</v>
      </c>
      <c r="I102" s="59"/>
      <c r="J102" s="24"/>
      <c r="K102" s="47"/>
      <c r="L102" s="6">
        <v>15000</v>
      </c>
      <c r="M102" s="59"/>
      <c r="N102" s="24"/>
      <c r="O102" s="23"/>
      <c r="P102" s="56"/>
      <c r="Q102" s="24"/>
      <c r="R102" s="23"/>
      <c r="S102" s="56"/>
      <c r="T102" s="56"/>
      <c r="U102" s="24"/>
    </row>
    <row r="103" spans="1:21" s="8" customFormat="1" x14ac:dyDescent="0.2">
      <c r="A103" s="17" t="s">
        <v>28</v>
      </c>
      <c r="B103" s="25">
        <f t="shared" ref="B103:R103" si="3">SUM(B63:B102)</f>
        <v>0</v>
      </c>
      <c r="C103" s="25">
        <f t="shared" si="3"/>
        <v>0</v>
      </c>
      <c r="D103" s="25">
        <f t="shared" si="3"/>
        <v>11784.489999999998</v>
      </c>
      <c r="E103" s="25">
        <f t="shared" si="3"/>
        <v>26992.61</v>
      </c>
      <c r="F103" s="25">
        <f t="shared" si="3"/>
        <v>162175.28</v>
      </c>
      <c r="G103" s="1">
        <f t="shared" si="3"/>
        <v>0</v>
      </c>
      <c r="H103" s="1">
        <f t="shared" si="3"/>
        <v>370859</v>
      </c>
      <c r="I103" s="60">
        <f t="shared" si="3"/>
        <v>55912.67</v>
      </c>
      <c r="J103" s="63">
        <f t="shared" si="3"/>
        <v>60131.67</v>
      </c>
      <c r="K103" s="25">
        <f t="shared" si="3"/>
        <v>0</v>
      </c>
      <c r="L103" s="1">
        <f>SUM(L63:L102)</f>
        <v>215067</v>
      </c>
      <c r="M103" s="1">
        <f t="shared" ref="M103:N103" si="4">SUM(M63:M102)</f>
        <v>101630</v>
      </c>
      <c r="N103" s="1">
        <f t="shared" si="4"/>
        <v>22500</v>
      </c>
      <c r="O103" s="25">
        <f t="shared" si="3"/>
        <v>13500</v>
      </c>
      <c r="P103" s="15">
        <f t="shared" si="3"/>
        <v>26600</v>
      </c>
      <c r="Q103" s="26">
        <f t="shared" si="3"/>
        <v>112030</v>
      </c>
      <c r="R103" s="25">
        <f t="shared" si="3"/>
        <v>0</v>
      </c>
      <c r="S103" s="15"/>
      <c r="T103" s="15">
        <f>SUM(T63:T102)</f>
        <v>0</v>
      </c>
      <c r="U103" s="26">
        <f>SUM(U63:U102)</f>
        <v>0</v>
      </c>
    </row>
    <row r="104" spans="1:21" s="37" customFormat="1" x14ac:dyDescent="0.2">
      <c r="A104" s="40" t="s">
        <v>91</v>
      </c>
      <c r="B104" s="43"/>
      <c r="C104" s="43"/>
      <c r="D104" s="43"/>
      <c r="E104" s="43"/>
      <c r="F104" s="43"/>
      <c r="G104" s="44"/>
      <c r="H104" s="45"/>
      <c r="I104" s="58"/>
      <c r="J104" s="46"/>
      <c r="K104" s="43"/>
      <c r="L104" s="45"/>
      <c r="M104" s="58"/>
      <c r="N104" s="46"/>
      <c r="O104" s="43"/>
      <c r="P104" s="55">
        <v>64872</v>
      </c>
      <c r="Q104" s="46">
        <v>64872</v>
      </c>
      <c r="R104" s="23"/>
      <c r="S104" s="56"/>
      <c r="T104" s="56"/>
      <c r="U104" s="24"/>
    </row>
    <row r="105" spans="1:21" s="37" customFormat="1" ht="25.5" x14ac:dyDescent="0.2">
      <c r="A105" s="72" t="s">
        <v>144</v>
      </c>
      <c r="B105" s="43"/>
      <c r="C105" s="43"/>
      <c r="D105" s="43">
        <v>19688.03</v>
      </c>
      <c r="E105" s="43"/>
      <c r="F105" s="43"/>
      <c r="G105" s="44"/>
      <c r="H105" s="45"/>
      <c r="I105" s="58"/>
      <c r="J105" s="46">
        <v>19738.099999999999</v>
      </c>
      <c r="K105" s="43"/>
      <c r="L105" s="45"/>
      <c r="M105" s="58"/>
      <c r="N105" s="46"/>
      <c r="O105" s="43"/>
      <c r="P105" s="55"/>
      <c r="Q105" s="46"/>
      <c r="R105" s="23"/>
      <c r="S105" s="56"/>
      <c r="T105" s="56"/>
      <c r="U105" s="24"/>
    </row>
    <row r="106" spans="1:21" s="8" customFormat="1" ht="38.25" x14ac:dyDescent="0.2">
      <c r="A106" s="100" t="s">
        <v>161</v>
      </c>
      <c r="B106" s="43"/>
      <c r="C106" s="43"/>
      <c r="D106" s="43"/>
      <c r="E106" s="43"/>
      <c r="F106" s="43"/>
      <c r="G106" s="44"/>
      <c r="H106" s="45"/>
      <c r="I106" s="58">
        <v>100</v>
      </c>
      <c r="J106" s="46"/>
      <c r="K106" s="43"/>
      <c r="L106" s="45"/>
      <c r="M106" s="58">
        <v>55000</v>
      </c>
      <c r="N106" s="58"/>
      <c r="O106" s="43"/>
      <c r="P106" s="55">
        <v>45900</v>
      </c>
      <c r="Q106" s="46"/>
      <c r="R106" s="43"/>
      <c r="S106" s="55"/>
      <c r="T106" s="55"/>
      <c r="U106" s="46">
        <v>100000</v>
      </c>
    </row>
    <row r="107" spans="1:21" x14ac:dyDescent="0.2">
      <c r="A107" s="20" t="s">
        <v>19</v>
      </c>
      <c r="B107" s="23"/>
      <c r="C107" s="23"/>
      <c r="D107" s="23"/>
      <c r="E107" s="23"/>
      <c r="F107" s="23"/>
      <c r="G107" s="6"/>
      <c r="H107" s="7">
        <v>41000</v>
      </c>
      <c r="I107" s="62"/>
      <c r="J107" s="32"/>
      <c r="K107" s="23"/>
      <c r="L107" s="6"/>
      <c r="M107" s="59"/>
      <c r="N107" s="24"/>
      <c r="O107" s="23"/>
      <c r="P107" s="56"/>
      <c r="Q107" s="24"/>
      <c r="R107" s="23"/>
      <c r="S107" s="56"/>
      <c r="T107" s="56"/>
      <c r="U107" s="24"/>
    </row>
    <row r="108" spans="1:21" x14ac:dyDescent="0.2">
      <c r="A108" s="20" t="s">
        <v>20</v>
      </c>
      <c r="B108" s="23"/>
      <c r="C108" s="23"/>
      <c r="D108" s="23"/>
      <c r="E108" s="23"/>
      <c r="F108" s="23"/>
      <c r="G108" s="6"/>
      <c r="H108" s="6">
        <v>115000</v>
      </c>
      <c r="I108" s="59"/>
      <c r="J108" s="24"/>
      <c r="K108" s="47"/>
      <c r="L108" s="6">
        <v>69416</v>
      </c>
      <c r="M108" s="59"/>
      <c r="N108" s="24"/>
      <c r="O108" s="23"/>
      <c r="P108" s="56"/>
      <c r="Q108" s="24"/>
      <c r="R108" s="23"/>
      <c r="S108" s="56"/>
      <c r="T108" s="56"/>
      <c r="U108" s="24"/>
    </row>
    <row r="109" spans="1:21" x14ac:dyDescent="0.2">
      <c r="A109" s="20" t="s">
        <v>21</v>
      </c>
      <c r="B109" s="23"/>
      <c r="C109" s="23"/>
      <c r="D109" s="23"/>
      <c r="E109" s="23"/>
      <c r="F109" s="23"/>
      <c r="G109" s="6"/>
      <c r="H109" s="6">
        <v>3500</v>
      </c>
      <c r="I109" s="59"/>
      <c r="J109" s="24"/>
      <c r="K109" s="47"/>
      <c r="L109" s="6">
        <v>15500</v>
      </c>
      <c r="M109" s="59"/>
      <c r="N109" s="24"/>
      <c r="O109" s="23"/>
      <c r="P109" s="56"/>
      <c r="Q109" s="24"/>
      <c r="R109" s="23"/>
      <c r="S109" s="56"/>
      <c r="T109" s="56"/>
      <c r="U109" s="24"/>
    </row>
    <row r="110" spans="1:21" x14ac:dyDescent="0.2">
      <c r="A110" s="20" t="s">
        <v>22</v>
      </c>
      <c r="B110" s="23"/>
      <c r="C110" s="23"/>
      <c r="D110" s="23"/>
      <c r="E110" s="23"/>
      <c r="F110" s="23"/>
      <c r="G110" s="6"/>
      <c r="H110" s="6">
        <f>1000+2500</f>
        <v>3500</v>
      </c>
      <c r="I110" s="59"/>
      <c r="J110" s="24"/>
      <c r="K110" s="23"/>
      <c r="L110" s="6">
        <f>32500-2500</f>
        <v>30000</v>
      </c>
      <c r="M110" s="59"/>
      <c r="N110" s="24"/>
      <c r="O110" s="23"/>
      <c r="P110" s="56"/>
      <c r="Q110" s="24"/>
      <c r="R110" s="23"/>
      <c r="S110" s="56"/>
      <c r="T110" s="56"/>
      <c r="U110" s="24"/>
    </row>
    <row r="111" spans="1:21" s="8" customFormat="1" x14ac:dyDescent="0.2">
      <c r="A111" s="17" t="s">
        <v>29</v>
      </c>
      <c r="B111" s="25">
        <f t="shared" ref="B111:R111" si="5">SUM(B104:B110)</f>
        <v>0</v>
      </c>
      <c r="C111" s="25">
        <f>SUM(C104:C110)</f>
        <v>0</v>
      </c>
      <c r="D111" s="25">
        <f t="shared" si="5"/>
        <v>19688.03</v>
      </c>
      <c r="E111" s="25">
        <f t="shared" si="5"/>
        <v>0</v>
      </c>
      <c r="F111" s="25">
        <f t="shared" si="5"/>
        <v>0</v>
      </c>
      <c r="G111" s="1">
        <f t="shared" si="5"/>
        <v>0</v>
      </c>
      <c r="H111" s="1">
        <f t="shared" si="5"/>
        <v>163000</v>
      </c>
      <c r="I111" s="60">
        <f t="shared" si="5"/>
        <v>100</v>
      </c>
      <c r="J111" s="63">
        <f t="shared" si="5"/>
        <v>19738.099999999999</v>
      </c>
      <c r="K111" s="25">
        <f t="shared" si="5"/>
        <v>0</v>
      </c>
      <c r="L111" s="1">
        <f t="shared" si="5"/>
        <v>114916</v>
      </c>
      <c r="M111" s="1">
        <f t="shared" si="5"/>
        <v>55000</v>
      </c>
      <c r="N111" s="26">
        <f t="shared" si="5"/>
        <v>0</v>
      </c>
      <c r="O111" s="25">
        <f t="shared" si="5"/>
        <v>0</v>
      </c>
      <c r="P111" s="15">
        <f t="shared" si="5"/>
        <v>110772</v>
      </c>
      <c r="Q111" s="26">
        <f t="shared" si="5"/>
        <v>64872</v>
      </c>
      <c r="R111" s="25">
        <f t="shared" si="5"/>
        <v>0</v>
      </c>
      <c r="S111" s="15"/>
      <c r="T111" s="15">
        <f>SUM(T104:T110)</f>
        <v>0</v>
      </c>
      <c r="U111" s="26">
        <f>SUM(U104:U110)</f>
        <v>100000</v>
      </c>
    </row>
    <row r="112" spans="1:21" s="37" customFormat="1" x14ac:dyDescent="0.2">
      <c r="A112" s="41" t="s">
        <v>109</v>
      </c>
      <c r="B112" s="43"/>
      <c r="C112" s="43"/>
      <c r="D112" s="43"/>
      <c r="E112" s="43"/>
      <c r="F112" s="43"/>
      <c r="G112" s="44"/>
      <c r="H112" s="45"/>
      <c r="I112" s="58"/>
      <c r="J112" s="46"/>
      <c r="K112" s="43"/>
      <c r="L112" s="45"/>
      <c r="M112" s="58"/>
      <c r="N112" s="46"/>
      <c r="O112" s="43"/>
      <c r="P112" s="55"/>
      <c r="Q112" s="46"/>
      <c r="R112" s="43"/>
      <c r="S112" s="55"/>
      <c r="T112" s="55"/>
      <c r="U112" s="46"/>
    </row>
    <row r="113" spans="1:21" s="37" customFormat="1" x14ac:dyDescent="0.2">
      <c r="A113" s="41" t="s">
        <v>110</v>
      </c>
      <c r="B113" s="43"/>
      <c r="C113" s="43"/>
      <c r="D113" s="43">
        <v>205.7</v>
      </c>
      <c r="E113" s="43"/>
      <c r="F113" s="43"/>
      <c r="G113" s="44"/>
      <c r="H113" s="45"/>
      <c r="I113" s="58">
        <f>13000+106.48</f>
        <v>13106.48</v>
      </c>
      <c r="J113" s="46">
        <v>9000</v>
      </c>
      <c r="K113" s="43"/>
      <c r="L113" s="45"/>
      <c r="M113" s="58">
        <v>30000</v>
      </c>
      <c r="N113" s="46">
        <v>27200</v>
      </c>
      <c r="O113" s="43"/>
      <c r="P113" s="55">
        <v>2276</v>
      </c>
      <c r="Q113" s="46">
        <v>9076</v>
      </c>
      <c r="R113" s="43"/>
      <c r="S113" s="55"/>
      <c r="T113" s="55"/>
      <c r="U113" s="46"/>
    </row>
    <row r="114" spans="1:21" s="8" customFormat="1" x14ac:dyDescent="0.2">
      <c r="A114" s="17" t="s">
        <v>32</v>
      </c>
      <c r="B114" s="25">
        <f t="shared" ref="B114:R114" si="6">SUM(B112:B113)</f>
        <v>0</v>
      </c>
      <c r="C114" s="25">
        <f t="shared" si="6"/>
        <v>0</v>
      </c>
      <c r="D114" s="25">
        <f t="shared" si="6"/>
        <v>205.7</v>
      </c>
      <c r="E114" s="25">
        <f t="shared" si="6"/>
        <v>0</v>
      </c>
      <c r="F114" s="25">
        <f t="shared" si="6"/>
        <v>0</v>
      </c>
      <c r="G114" s="1">
        <f t="shared" si="6"/>
        <v>0</v>
      </c>
      <c r="H114" s="1">
        <f t="shared" si="6"/>
        <v>0</v>
      </c>
      <c r="I114" s="60">
        <f t="shared" si="6"/>
        <v>13106.48</v>
      </c>
      <c r="J114" s="63">
        <f t="shared" si="6"/>
        <v>9000</v>
      </c>
      <c r="K114" s="25">
        <f t="shared" si="6"/>
        <v>0</v>
      </c>
      <c r="L114" s="1">
        <f t="shared" si="6"/>
        <v>0</v>
      </c>
      <c r="M114" s="1">
        <f t="shared" si="6"/>
        <v>30000</v>
      </c>
      <c r="N114" s="26">
        <f t="shared" si="6"/>
        <v>27200</v>
      </c>
      <c r="O114" s="25">
        <f t="shared" si="6"/>
        <v>0</v>
      </c>
      <c r="P114" s="15">
        <f t="shared" si="6"/>
        <v>2276</v>
      </c>
      <c r="Q114" s="26">
        <f t="shared" si="6"/>
        <v>9076</v>
      </c>
      <c r="R114" s="25">
        <f t="shared" si="6"/>
        <v>0</v>
      </c>
      <c r="S114" s="15"/>
      <c r="T114" s="15">
        <f>SUM(T112:T113)</f>
        <v>0</v>
      </c>
      <c r="U114" s="26">
        <f>SUM(U112:U113)</f>
        <v>0</v>
      </c>
    </row>
    <row r="115" spans="1:21" s="37" customFormat="1" x14ac:dyDescent="0.2">
      <c r="A115" s="42" t="s">
        <v>98</v>
      </c>
      <c r="B115" s="43"/>
      <c r="C115" s="43"/>
      <c r="D115" s="43"/>
      <c r="E115" s="43"/>
      <c r="F115" s="43"/>
      <c r="G115" s="44"/>
      <c r="H115" s="45"/>
      <c r="I115" s="58"/>
      <c r="J115" s="46"/>
      <c r="K115" s="43"/>
      <c r="L115" s="45"/>
      <c r="M115" s="58">
        <v>69500</v>
      </c>
      <c r="N115" s="46">
        <v>69500</v>
      </c>
      <c r="O115" s="43"/>
      <c r="P115" s="55"/>
      <c r="Q115" s="46"/>
      <c r="R115" s="43"/>
      <c r="S115" s="55"/>
      <c r="T115" s="55"/>
      <c r="U115" s="46"/>
    </row>
    <row r="116" spans="1:21" s="37" customFormat="1" ht="25.5" x14ac:dyDescent="0.2">
      <c r="A116" s="42" t="s">
        <v>99</v>
      </c>
      <c r="B116" s="43"/>
      <c r="C116" s="43"/>
      <c r="D116" s="43"/>
      <c r="E116" s="43"/>
      <c r="F116" s="43"/>
      <c r="G116" s="44"/>
      <c r="H116" s="45"/>
      <c r="I116" s="58"/>
      <c r="J116" s="46"/>
      <c r="K116" s="43"/>
      <c r="L116" s="45"/>
      <c r="M116" s="58">
        <v>14784</v>
      </c>
      <c r="N116" s="46"/>
      <c r="O116" s="43"/>
      <c r="P116" s="55"/>
      <c r="Q116" s="46">
        <v>14784</v>
      </c>
      <c r="R116" s="43"/>
      <c r="S116" s="55"/>
      <c r="T116" s="55"/>
      <c r="U116" s="46"/>
    </row>
    <row r="117" spans="1:21" s="37" customFormat="1" x14ac:dyDescent="0.2">
      <c r="A117" s="42" t="s">
        <v>100</v>
      </c>
      <c r="B117" s="43"/>
      <c r="C117" s="43"/>
      <c r="D117" s="43"/>
      <c r="E117" s="43"/>
      <c r="F117" s="43"/>
      <c r="G117" s="44"/>
      <c r="H117" s="45"/>
      <c r="I117" s="58"/>
      <c r="J117" s="46"/>
      <c r="K117" s="43"/>
      <c r="L117" s="45"/>
      <c r="M117" s="58">
        <v>88500</v>
      </c>
      <c r="N117" s="46">
        <v>88500</v>
      </c>
      <c r="O117" s="43"/>
      <c r="P117" s="55"/>
      <c r="Q117" s="46"/>
      <c r="R117" s="43"/>
      <c r="S117" s="55"/>
      <c r="T117" s="55"/>
      <c r="U117" s="46"/>
    </row>
    <row r="118" spans="1:21" x14ac:dyDescent="0.2">
      <c r="A118" s="40" t="s">
        <v>92</v>
      </c>
      <c r="B118" s="23"/>
      <c r="C118" s="23"/>
      <c r="D118" s="23"/>
      <c r="E118" s="23"/>
      <c r="F118" s="23"/>
      <c r="G118" s="6"/>
      <c r="H118" s="6"/>
      <c r="I118" s="59"/>
      <c r="J118" s="24"/>
      <c r="K118" s="23"/>
      <c r="L118" s="6"/>
      <c r="M118" s="59"/>
      <c r="N118" s="24"/>
      <c r="O118" s="23"/>
      <c r="P118" s="56">
        <v>141437</v>
      </c>
      <c r="Q118" s="24">
        <v>141437</v>
      </c>
      <c r="R118" s="23"/>
      <c r="S118" s="56"/>
      <c r="T118" s="56"/>
      <c r="U118" s="24"/>
    </row>
    <row r="119" spans="1:21" s="8" customFormat="1" x14ac:dyDescent="0.2">
      <c r="A119" s="17" t="s">
        <v>93</v>
      </c>
      <c r="B119" s="25">
        <f t="shared" ref="B119:R119" si="7">SUM(B115:B118)</f>
        <v>0</v>
      </c>
      <c r="C119" s="25">
        <f t="shared" si="7"/>
        <v>0</v>
      </c>
      <c r="D119" s="25">
        <f t="shared" si="7"/>
        <v>0</v>
      </c>
      <c r="E119" s="25">
        <f t="shared" si="7"/>
        <v>0</v>
      </c>
      <c r="F119" s="25">
        <f t="shared" si="7"/>
        <v>0</v>
      </c>
      <c r="G119" s="1">
        <f t="shared" si="7"/>
        <v>0</v>
      </c>
      <c r="H119" s="1">
        <f t="shared" si="7"/>
        <v>0</v>
      </c>
      <c r="I119" s="60">
        <f t="shared" si="7"/>
        <v>0</v>
      </c>
      <c r="J119" s="63">
        <f t="shared" si="7"/>
        <v>0</v>
      </c>
      <c r="K119" s="25">
        <f t="shared" si="7"/>
        <v>0</v>
      </c>
      <c r="L119" s="1">
        <f t="shared" si="7"/>
        <v>0</v>
      </c>
      <c r="M119" s="1">
        <f t="shared" si="7"/>
        <v>172784</v>
      </c>
      <c r="N119" s="26">
        <f t="shared" si="7"/>
        <v>158000</v>
      </c>
      <c r="O119" s="25">
        <f t="shared" si="7"/>
        <v>0</v>
      </c>
      <c r="P119" s="15">
        <f t="shared" si="7"/>
        <v>141437</v>
      </c>
      <c r="Q119" s="26">
        <f t="shared" si="7"/>
        <v>156221</v>
      </c>
      <c r="R119" s="25">
        <f t="shared" si="7"/>
        <v>0</v>
      </c>
      <c r="S119" s="15"/>
      <c r="T119" s="15">
        <f>SUM(T115:T118)</f>
        <v>0</v>
      </c>
      <c r="U119" s="26">
        <f>SUM(U115:U118)</f>
        <v>0</v>
      </c>
    </row>
    <row r="120" spans="1:21" s="37" customFormat="1" x14ac:dyDescent="0.2">
      <c r="A120" s="41" t="s">
        <v>111</v>
      </c>
      <c r="B120" s="43"/>
      <c r="C120" s="43"/>
      <c r="D120" s="43"/>
      <c r="E120" s="43"/>
      <c r="F120" s="43"/>
      <c r="G120" s="44"/>
      <c r="H120" s="45"/>
      <c r="I120" s="58"/>
      <c r="J120" s="46"/>
      <c r="K120" s="43"/>
      <c r="L120" s="89">
        <v>15000</v>
      </c>
      <c r="M120" s="58">
        <v>84500</v>
      </c>
      <c r="N120" s="46"/>
      <c r="O120" s="90">
        <v>20915</v>
      </c>
      <c r="P120" s="55">
        <v>113500</v>
      </c>
      <c r="Q120" s="46">
        <v>198000</v>
      </c>
      <c r="R120" s="43"/>
      <c r="S120" s="55"/>
      <c r="T120" s="55"/>
      <c r="U120" s="46"/>
    </row>
    <row r="121" spans="1:21" s="8" customFormat="1" x14ac:dyDescent="0.2">
      <c r="A121" s="17" t="s">
        <v>112</v>
      </c>
      <c r="B121" s="1">
        <f t="shared" ref="B121:U121" si="8">SUBTOTAL(9,B120)</f>
        <v>0</v>
      </c>
      <c r="C121" s="1">
        <f t="shared" si="8"/>
        <v>0</v>
      </c>
      <c r="D121" s="1">
        <f t="shared" si="8"/>
        <v>0</v>
      </c>
      <c r="E121" s="1">
        <f t="shared" si="8"/>
        <v>0</v>
      </c>
      <c r="F121" s="1">
        <f t="shared" si="8"/>
        <v>0</v>
      </c>
      <c r="G121" s="1">
        <f t="shared" si="8"/>
        <v>0</v>
      </c>
      <c r="H121" s="1">
        <f t="shared" si="8"/>
        <v>0</v>
      </c>
      <c r="I121" s="60">
        <f t="shared" si="8"/>
        <v>0</v>
      </c>
      <c r="J121" s="63">
        <f t="shared" si="8"/>
        <v>0</v>
      </c>
      <c r="K121" s="25">
        <f t="shared" si="8"/>
        <v>0</v>
      </c>
      <c r="L121" s="1">
        <f t="shared" si="8"/>
        <v>15000</v>
      </c>
      <c r="M121" s="1">
        <f t="shared" si="8"/>
        <v>84500</v>
      </c>
      <c r="N121" s="26">
        <f t="shared" si="8"/>
        <v>0</v>
      </c>
      <c r="O121" s="25">
        <f t="shared" si="8"/>
        <v>20915</v>
      </c>
      <c r="P121" s="15">
        <f>SUM(P120)</f>
        <v>113500</v>
      </c>
      <c r="Q121" s="26">
        <f t="shared" si="8"/>
        <v>198000</v>
      </c>
      <c r="R121" s="25">
        <f t="shared" si="8"/>
        <v>0</v>
      </c>
      <c r="S121" s="15"/>
      <c r="T121" s="15">
        <f>SUM(T120)</f>
        <v>0</v>
      </c>
      <c r="U121" s="26">
        <f t="shared" si="8"/>
        <v>0</v>
      </c>
    </row>
    <row r="122" spans="1:21" s="8" customFormat="1" ht="18.75" customHeight="1" x14ac:dyDescent="0.2">
      <c r="A122" s="73"/>
      <c r="B122" s="74">
        <f t="shared" ref="B122:R122" si="9">B121+B119+B114+B111+B103+B62+B49+B34</f>
        <v>0</v>
      </c>
      <c r="C122" s="74">
        <f t="shared" si="9"/>
        <v>0</v>
      </c>
      <c r="D122" s="74">
        <f t="shared" si="9"/>
        <v>312288.5</v>
      </c>
      <c r="E122" s="74">
        <f t="shared" si="9"/>
        <v>331976.3</v>
      </c>
      <c r="F122" s="74">
        <f t="shared" si="9"/>
        <v>199479.2</v>
      </c>
      <c r="G122" s="74">
        <f t="shared" si="9"/>
        <v>0</v>
      </c>
      <c r="H122" s="74">
        <f t="shared" si="9"/>
        <v>973010</v>
      </c>
      <c r="I122" s="74">
        <f t="shared" si="9"/>
        <v>707254.27</v>
      </c>
      <c r="J122" s="74">
        <f t="shared" si="9"/>
        <v>649792.14999999991</v>
      </c>
      <c r="K122" s="74">
        <f t="shared" si="9"/>
        <v>0</v>
      </c>
      <c r="L122" s="74">
        <f t="shared" si="9"/>
        <v>965899</v>
      </c>
      <c r="M122" s="74">
        <f t="shared" si="9"/>
        <v>886394.58</v>
      </c>
      <c r="N122" s="74">
        <f t="shared" si="9"/>
        <v>603814.99</v>
      </c>
      <c r="O122" s="74">
        <f t="shared" si="9"/>
        <v>262305</v>
      </c>
      <c r="P122" s="74">
        <f t="shared" si="9"/>
        <v>874250</v>
      </c>
      <c r="Q122" s="74">
        <f t="shared" si="9"/>
        <v>1426001</v>
      </c>
      <c r="R122" s="74">
        <f t="shared" si="9"/>
        <v>667334</v>
      </c>
      <c r="S122" s="75"/>
      <c r="T122" s="74">
        <f>T121+T119+T114+T111+T103+T62+T49+T34</f>
        <v>0</v>
      </c>
      <c r="U122" s="74">
        <f>U121+U119+U114+U111+U103+U62+U49+U34</f>
        <v>225615</v>
      </c>
    </row>
    <row r="123" spans="1:21" s="8" customFormat="1" x14ac:dyDescent="0.2">
      <c r="A123" s="2"/>
      <c r="B123" s="29"/>
      <c r="C123" s="29"/>
      <c r="D123" s="29"/>
      <c r="E123" s="29"/>
      <c r="F123" s="29"/>
      <c r="G123" s="3"/>
      <c r="H123" s="3"/>
      <c r="I123" s="3"/>
      <c r="J123" s="64"/>
      <c r="K123" s="29"/>
      <c r="L123" s="3"/>
      <c r="M123" s="3"/>
      <c r="N123" s="30"/>
      <c r="O123" s="29"/>
      <c r="P123" s="3"/>
      <c r="Q123" s="30"/>
      <c r="R123" s="29"/>
      <c r="S123" s="3"/>
      <c r="T123" s="3"/>
      <c r="U123" s="30"/>
    </row>
    <row r="124" spans="1:21" s="8" customFormat="1" ht="38.25" x14ac:dyDescent="0.2">
      <c r="A124" s="51" t="s">
        <v>137</v>
      </c>
      <c r="B124" s="66"/>
      <c r="C124" s="66"/>
      <c r="D124" s="66"/>
      <c r="E124" s="66"/>
      <c r="F124" s="66"/>
      <c r="G124" s="67"/>
      <c r="H124" s="67"/>
      <c r="I124" s="68"/>
      <c r="J124" s="69"/>
      <c r="K124" s="66"/>
      <c r="L124" s="67"/>
      <c r="M124" s="68"/>
      <c r="N124" s="69"/>
      <c r="O124" s="66"/>
      <c r="P124" s="70"/>
      <c r="Q124" s="69"/>
      <c r="R124" s="66"/>
      <c r="S124" s="70"/>
      <c r="T124" s="70"/>
      <c r="U124" s="69"/>
    </row>
    <row r="125" spans="1:21" s="8" customFormat="1" ht="38.25" x14ac:dyDescent="0.2">
      <c r="A125" s="52" t="s">
        <v>117</v>
      </c>
      <c r="B125" s="43"/>
      <c r="C125" s="43"/>
      <c r="D125" s="43">
        <v>4200.32</v>
      </c>
      <c r="E125" s="43">
        <v>0</v>
      </c>
      <c r="F125" s="43"/>
      <c r="G125" s="44"/>
      <c r="H125" s="45"/>
      <c r="I125" s="58"/>
      <c r="J125" s="46">
        <v>5354.55</v>
      </c>
      <c r="K125" s="43"/>
      <c r="L125" s="45"/>
      <c r="M125" s="58"/>
      <c r="N125" s="46"/>
      <c r="O125" s="43"/>
      <c r="P125" s="55"/>
      <c r="Q125" s="46"/>
      <c r="R125" s="43"/>
      <c r="S125" s="55"/>
      <c r="T125" s="55"/>
      <c r="U125" s="46"/>
    </row>
    <row r="126" spans="1:21" s="8" customFormat="1" ht="25.5" x14ac:dyDescent="0.2">
      <c r="A126" s="52" t="s">
        <v>118</v>
      </c>
      <c r="B126" s="43"/>
      <c r="C126" s="43"/>
      <c r="D126" s="43">
        <v>12485.01</v>
      </c>
      <c r="E126" s="43"/>
      <c r="F126" s="43"/>
      <c r="G126" s="44"/>
      <c r="H126" s="45"/>
      <c r="I126" s="58">
        <v>1198.5</v>
      </c>
      <c r="J126" s="46">
        <v>13683.76</v>
      </c>
      <c r="K126" s="43"/>
      <c r="L126" s="45"/>
      <c r="M126" s="58"/>
      <c r="N126" s="46"/>
      <c r="O126" s="43"/>
      <c r="P126" s="55"/>
      <c r="Q126" s="46"/>
      <c r="R126" s="43"/>
      <c r="S126" s="55"/>
      <c r="T126" s="55"/>
      <c r="U126" s="46"/>
    </row>
    <row r="127" spans="1:21" s="8" customFormat="1" ht="25.5" x14ac:dyDescent="0.2">
      <c r="A127" s="52" t="s">
        <v>119</v>
      </c>
      <c r="B127" s="43"/>
      <c r="C127" s="43"/>
      <c r="D127" s="43">
        <v>731.76</v>
      </c>
      <c r="E127" s="43"/>
      <c r="F127" s="43"/>
      <c r="G127" s="44"/>
      <c r="H127" s="45"/>
      <c r="I127" s="58">
        <v>11.66</v>
      </c>
      <c r="J127" s="46"/>
      <c r="K127" s="43"/>
      <c r="L127" s="45"/>
      <c r="M127" s="58"/>
      <c r="N127" s="46">
        <v>743.42</v>
      </c>
      <c r="O127" s="43"/>
      <c r="P127" s="55"/>
      <c r="Q127" s="46"/>
      <c r="R127" s="43"/>
      <c r="S127" s="55"/>
      <c r="T127" s="55"/>
      <c r="U127" s="46"/>
    </row>
    <row r="128" spans="1:21" s="8" customFormat="1" ht="25.5" x14ac:dyDescent="0.2">
      <c r="A128" s="53" t="s">
        <v>120</v>
      </c>
      <c r="B128" s="43"/>
      <c r="C128" s="43"/>
      <c r="D128" s="43">
        <v>40663.625010000003</v>
      </c>
      <c r="E128" s="43"/>
      <c r="F128" s="43"/>
      <c r="G128" s="44"/>
      <c r="H128" s="45"/>
      <c r="I128" s="58">
        <v>5605.38</v>
      </c>
      <c r="J128" s="46">
        <v>46269</v>
      </c>
      <c r="K128" s="43"/>
      <c r="L128" s="45"/>
      <c r="M128" s="58"/>
      <c r="N128" s="46"/>
      <c r="O128" s="43"/>
      <c r="P128" s="55"/>
      <c r="Q128" s="46"/>
      <c r="R128" s="43"/>
      <c r="S128" s="55"/>
      <c r="T128" s="55"/>
      <c r="U128" s="46"/>
    </row>
    <row r="129" spans="1:21" s="8" customFormat="1" ht="25.5" x14ac:dyDescent="0.2">
      <c r="A129" s="53" t="s">
        <v>121</v>
      </c>
      <c r="B129" s="43"/>
      <c r="C129" s="43"/>
      <c r="D129" s="43">
        <v>0</v>
      </c>
      <c r="E129" s="43"/>
      <c r="F129" s="43"/>
      <c r="G129" s="44"/>
      <c r="H129" s="45"/>
      <c r="I129" s="58">
        <f>29294+22500</f>
        <v>51794</v>
      </c>
      <c r="J129" s="46"/>
      <c r="K129" s="43"/>
      <c r="L129" s="45"/>
      <c r="M129" s="58"/>
      <c r="N129" s="46">
        <v>51794</v>
      </c>
      <c r="O129" s="43"/>
      <c r="P129" s="55"/>
      <c r="Q129" s="46"/>
      <c r="R129" s="43"/>
      <c r="S129" s="55"/>
      <c r="T129" s="55"/>
      <c r="U129" s="46"/>
    </row>
    <row r="130" spans="1:21" s="8" customFormat="1" ht="25.5" x14ac:dyDescent="0.2">
      <c r="A130" s="53" t="s">
        <v>122</v>
      </c>
      <c r="B130" s="43"/>
      <c r="C130" s="43"/>
      <c r="D130" s="43"/>
      <c r="E130" s="43"/>
      <c r="F130" s="43"/>
      <c r="G130" s="44"/>
      <c r="H130" s="45"/>
      <c r="I130" s="58"/>
      <c r="J130" s="46"/>
      <c r="K130" s="43"/>
      <c r="L130" s="45"/>
      <c r="M130" s="58"/>
      <c r="N130" s="46"/>
      <c r="O130" s="43"/>
      <c r="P130" s="55"/>
      <c r="Q130" s="46"/>
      <c r="R130" s="43"/>
      <c r="S130" s="55"/>
      <c r="T130" s="55"/>
      <c r="U130" s="46"/>
    </row>
    <row r="131" spans="1:21" s="8" customFormat="1" ht="25.5" x14ac:dyDescent="0.2">
      <c r="A131" s="53" t="s">
        <v>123</v>
      </c>
      <c r="B131" s="43"/>
      <c r="C131" s="43"/>
      <c r="D131" s="43"/>
      <c r="E131" s="43"/>
      <c r="F131" s="43"/>
      <c r="G131" s="44"/>
      <c r="H131" s="45"/>
      <c r="I131" s="58"/>
      <c r="J131" s="46"/>
      <c r="K131" s="43"/>
      <c r="L131" s="45"/>
      <c r="M131" s="58"/>
      <c r="N131" s="46"/>
      <c r="O131" s="43"/>
      <c r="P131" s="55"/>
      <c r="Q131" s="46"/>
      <c r="R131" s="43"/>
      <c r="S131" s="55"/>
      <c r="T131" s="55"/>
      <c r="U131" s="46"/>
    </row>
    <row r="132" spans="1:21" s="8" customFormat="1" ht="25.5" x14ac:dyDescent="0.2">
      <c r="A132" s="53" t="s">
        <v>124</v>
      </c>
      <c r="B132" s="43"/>
      <c r="C132" s="43"/>
      <c r="D132" s="43"/>
      <c r="E132" s="43"/>
      <c r="F132" s="43"/>
      <c r="G132" s="44"/>
      <c r="H132" s="45"/>
      <c r="I132" s="58"/>
      <c r="J132" s="46"/>
      <c r="K132" s="43"/>
      <c r="L132" s="45"/>
      <c r="M132" s="58"/>
      <c r="N132" s="46"/>
      <c r="O132" s="43"/>
      <c r="P132" s="55"/>
      <c r="Q132" s="46"/>
      <c r="R132" s="43"/>
      <c r="S132" s="55"/>
      <c r="T132" s="55"/>
      <c r="U132" s="46"/>
    </row>
    <row r="133" spans="1:21" s="8" customFormat="1" ht="25.5" x14ac:dyDescent="0.2">
      <c r="A133" s="53" t="s">
        <v>125</v>
      </c>
      <c r="B133" s="43"/>
      <c r="C133" s="43"/>
      <c r="D133" s="43"/>
      <c r="E133" s="43"/>
      <c r="F133" s="43"/>
      <c r="G133" s="44"/>
      <c r="H133" s="45"/>
      <c r="I133" s="58"/>
      <c r="J133" s="46"/>
      <c r="K133" s="43"/>
      <c r="L133" s="45"/>
      <c r="M133" s="58"/>
      <c r="N133" s="46"/>
      <c r="O133" s="43"/>
      <c r="P133" s="55"/>
      <c r="Q133" s="46"/>
      <c r="R133" s="43"/>
      <c r="S133" s="55"/>
      <c r="T133" s="55"/>
      <c r="U133" s="46"/>
    </row>
    <row r="134" spans="1:21" s="8" customFormat="1" ht="25.5" x14ac:dyDescent="0.2">
      <c r="A134" s="53" t="s">
        <v>126</v>
      </c>
      <c r="B134" s="43"/>
      <c r="C134" s="43"/>
      <c r="D134" s="43"/>
      <c r="E134" s="43"/>
      <c r="F134" s="43"/>
      <c r="G134" s="44"/>
      <c r="H134" s="45"/>
      <c r="I134" s="58"/>
      <c r="J134" s="46"/>
      <c r="K134" s="43"/>
      <c r="L134" s="45"/>
      <c r="M134" s="58"/>
      <c r="N134" s="46"/>
      <c r="O134" s="43"/>
      <c r="P134" s="55"/>
      <c r="Q134" s="46"/>
      <c r="R134" s="43"/>
      <c r="S134" s="55"/>
      <c r="T134" s="55"/>
      <c r="U134" s="46"/>
    </row>
    <row r="135" spans="1:21" s="8" customFormat="1" ht="38.25" x14ac:dyDescent="0.2">
      <c r="A135" s="53" t="s">
        <v>127</v>
      </c>
      <c r="B135" s="43"/>
      <c r="C135" s="43"/>
      <c r="D135" s="43"/>
      <c r="E135" s="43"/>
      <c r="F135" s="43"/>
      <c r="G135" s="44"/>
      <c r="H135" s="45"/>
      <c r="I135" s="58"/>
      <c r="J135" s="46"/>
      <c r="K135" s="43"/>
      <c r="L135" s="45"/>
      <c r="M135" s="58"/>
      <c r="N135" s="46"/>
      <c r="O135" s="43"/>
      <c r="P135" s="55"/>
      <c r="Q135" s="46"/>
      <c r="R135" s="43"/>
      <c r="S135" s="55"/>
      <c r="T135" s="55"/>
      <c r="U135" s="46"/>
    </row>
    <row r="136" spans="1:21" s="8" customFormat="1" ht="25.5" x14ac:dyDescent="0.2">
      <c r="A136" s="54" t="s">
        <v>128</v>
      </c>
      <c r="B136" s="43"/>
      <c r="C136" s="43"/>
      <c r="D136" s="43"/>
      <c r="E136" s="43"/>
      <c r="F136" s="43"/>
      <c r="G136" s="44"/>
      <c r="H136" s="45"/>
      <c r="I136" s="58"/>
      <c r="J136" s="46"/>
      <c r="K136" s="43"/>
      <c r="L136" s="45"/>
      <c r="M136" s="58"/>
      <c r="N136" s="46"/>
      <c r="O136" s="43"/>
      <c r="P136" s="55"/>
      <c r="Q136" s="46"/>
      <c r="R136" s="43"/>
      <c r="S136" s="55"/>
      <c r="T136" s="55"/>
      <c r="U136" s="46"/>
    </row>
    <row r="137" spans="1:21" s="8" customFormat="1" x14ac:dyDescent="0.2">
      <c r="A137" s="50" t="s">
        <v>129</v>
      </c>
      <c r="B137" s="43"/>
      <c r="C137" s="43"/>
      <c r="D137" s="43">
        <v>0</v>
      </c>
      <c r="E137" s="43"/>
      <c r="F137" s="43"/>
      <c r="G137" s="44"/>
      <c r="H137" s="45"/>
      <c r="I137" s="58"/>
      <c r="J137" s="46"/>
      <c r="K137" s="43"/>
      <c r="L137" s="45"/>
      <c r="M137" s="58"/>
      <c r="N137" s="46"/>
      <c r="O137" s="43"/>
      <c r="P137" s="55"/>
      <c r="Q137" s="46"/>
      <c r="R137" s="43"/>
      <c r="S137" s="55"/>
      <c r="T137" s="55"/>
      <c r="U137" s="46"/>
    </row>
    <row r="138" spans="1:21" s="8" customFormat="1" x14ac:dyDescent="0.2">
      <c r="A138" s="50" t="s">
        <v>130</v>
      </c>
      <c r="B138" s="43"/>
      <c r="C138" s="43"/>
      <c r="D138" s="43">
        <v>24827.701499999999</v>
      </c>
      <c r="E138" s="43">
        <v>24827.701499999999</v>
      </c>
      <c r="F138" s="43"/>
      <c r="G138" s="44"/>
      <c r="H138" s="45"/>
      <c r="I138" s="58"/>
      <c r="J138" s="46"/>
      <c r="K138" s="43"/>
      <c r="L138" s="45"/>
      <c r="M138" s="58"/>
      <c r="N138" s="46"/>
      <c r="O138" s="43"/>
      <c r="P138" s="55"/>
      <c r="Q138" s="46"/>
      <c r="R138" s="43"/>
      <c r="S138" s="55"/>
      <c r="T138" s="55"/>
      <c r="U138" s="46"/>
    </row>
    <row r="139" spans="1:21" s="8" customFormat="1" x14ac:dyDescent="0.2">
      <c r="A139" s="50" t="s">
        <v>131</v>
      </c>
      <c r="B139" s="43"/>
      <c r="C139" s="43"/>
      <c r="D139" s="43">
        <v>27000</v>
      </c>
      <c r="E139" s="43"/>
      <c r="F139" s="43"/>
      <c r="G139" s="44"/>
      <c r="H139" s="45"/>
      <c r="I139" s="58"/>
      <c r="J139" s="46">
        <v>27000</v>
      </c>
      <c r="K139" s="43"/>
      <c r="L139" s="45"/>
      <c r="M139" s="58"/>
      <c r="N139" s="46"/>
      <c r="O139" s="43"/>
      <c r="P139" s="55"/>
      <c r="Q139" s="46"/>
      <c r="R139" s="43"/>
      <c r="S139" s="55"/>
      <c r="T139" s="55"/>
      <c r="U139" s="46"/>
    </row>
    <row r="140" spans="1:21" s="8" customFormat="1" x14ac:dyDescent="0.2">
      <c r="A140" s="50" t="s">
        <v>132</v>
      </c>
      <c r="B140" s="43"/>
      <c r="C140" s="43"/>
      <c r="D140" s="43">
        <v>0</v>
      </c>
      <c r="E140" s="43">
        <v>24350.584500000001</v>
      </c>
      <c r="F140" s="43"/>
      <c r="G140" s="44"/>
      <c r="H140" s="45"/>
      <c r="I140" s="58"/>
      <c r="J140" s="46"/>
      <c r="K140" s="43"/>
      <c r="L140" s="45"/>
      <c r="M140" s="58"/>
      <c r="N140" s="46"/>
      <c r="O140" s="43"/>
      <c r="P140" s="55"/>
      <c r="Q140" s="46"/>
      <c r="R140" s="43"/>
      <c r="S140" s="55"/>
      <c r="T140" s="55"/>
      <c r="U140" s="46"/>
    </row>
    <row r="141" spans="1:21" s="8" customFormat="1" x14ac:dyDescent="0.2">
      <c r="A141" s="50" t="s">
        <v>133</v>
      </c>
      <c r="B141" s="43"/>
      <c r="C141" s="43"/>
      <c r="D141" s="43">
        <v>10219.720499999999</v>
      </c>
      <c r="E141" s="43"/>
      <c r="F141" s="43"/>
      <c r="G141" s="44"/>
      <c r="H141" s="45"/>
      <c r="I141" s="58"/>
      <c r="J141" s="46">
        <v>10351</v>
      </c>
      <c r="K141" s="43"/>
      <c r="L141" s="45"/>
      <c r="M141" s="58"/>
      <c r="N141" s="46"/>
      <c r="O141" s="43"/>
      <c r="P141" s="55"/>
      <c r="Q141" s="46"/>
      <c r="R141" s="43"/>
      <c r="S141" s="55"/>
      <c r="T141" s="55"/>
      <c r="U141" s="46"/>
    </row>
    <row r="142" spans="1:21" s="8" customFormat="1" x14ac:dyDescent="0.2">
      <c r="A142" s="50" t="s">
        <v>134</v>
      </c>
      <c r="B142" s="43"/>
      <c r="C142" s="43"/>
      <c r="D142" s="43">
        <v>0</v>
      </c>
      <c r="E142" s="43"/>
      <c r="F142" s="43"/>
      <c r="G142" s="44"/>
      <c r="H142" s="45"/>
      <c r="I142" s="58">
        <v>20169</v>
      </c>
      <c r="J142" s="46">
        <v>20169</v>
      </c>
      <c r="K142" s="43"/>
      <c r="L142" s="45"/>
      <c r="M142" s="58"/>
      <c r="N142" s="46"/>
      <c r="O142" s="43"/>
      <c r="P142" s="55"/>
      <c r="Q142" s="46"/>
      <c r="R142" s="43"/>
      <c r="S142" s="55"/>
      <c r="T142" s="55"/>
      <c r="U142" s="46"/>
    </row>
    <row r="143" spans="1:21" s="8" customFormat="1" ht="38.25" x14ac:dyDescent="0.2">
      <c r="A143" s="54" t="s">
        <v>135</v>
      </c>
      <c r="B143" s="43"/>
      <c r="C143" s="43"/>
      <c r="D143" s="43"/>
      <c r="E143" s="43"/>
      <c r="F143" s="43"/>
      <c r="G143" s="44"/>
      <c r="H143" s="45"/>
      <c r="I143" s="58"/>
      <c r="J143" s="46"/>
      <c r="K143" s="43"/>
      <c r="L143" s="45"/>
      <c r="M143" s="58"/>
      <c r="N143" s="46"/>
      <c r="O143" s="43"/>
      <c r="P143" s="55"/>
      <c r="Q143" s="46"/>
      <c r="R143" s="43"/>
      <c r="S143" s="55"/>
      <c r="T143" s="55"/>
      <c r="U143" s="46"/>
    </row>
    <row r="144" spans="1:21" s="8" customFormat="1" x14ac:dyDescent="0.2">
      <c r="A144" s="50" t="s">
        <v>130</v>
      </c>
      <c r="B144" s="43"/>
      <c r="C144" s="43"/>
      <c r="D144" s="43">
        <v>2471.8014000000003</v>
      </c>
      <c r="E144" s="43"/>
      <c r="F144" s="43"/>
      <c r="G144" s="44"/>
      <c r="H144" s="45"/>
      <c r="I144" s="58">
        <v>5194.21</v>
      </c>
      <c r="J144" s="46">
        <v>7666</v>
      </c>
      <c r="K144" s="43"/>
      <c r="L144" s="45"/>
      <c r="M144" s="58"/>
      <c r="N144" s="46"/>
      <c r="O144" s="43"/>
      <c r="P144" s="55"/>
      <c r="Q144" s="46"/>
      <c r="R144" s="43"/>
      <c r="S144" s="55"/>
      <c r="T144" s="55"/>
      <c r="U144" s="46"/>
    </row>
    <row r="145" spans="1:21" s="8" customFormat="1" x14ac:dyDescent="0.2">
      <c r="A145" s="50" t="s">
        <v>131</v>
      </c>
      <c r="B145" s="43"/>
      <c r="C145" s="43"/>
      <c r="D145" s="43">
        <v>5671.7503100000004</v>
      </c>
      <c r="E145" s="43"/>
      <c r="F145" s="43"/>
      <c r="G145" s="44"/>
      <c r="H145" s="45"/>
      <c r="I145" s="58">
        <v>5562.25</v>
      </c>
      <c r="J145" s="46">
        <v>11234</v>
      </c>
      <c r="K145" s="43"/>
      <c r="L145" s="45"/>
      <c r="M145" s="58"/>
      <c r="N145" s="46"/>
      <c r="O145" s="43"/>
      <c r="P145" s="55"/>
      <c r="Q145" s="46"/>
      <c r="R145" s="43"/>
      <c r="S145" s="55"/>
      <c r="T145" s="55"/>
      <c r="U145" s="46"/>
    </row>
    <row r="146" spans="1:21" s="8" customFormat="1" x14ac:dyDescent="0.2">
      <c r="A146" s="50" t="s">
        <v>132</v>
      </c>
      <c r="B146" s="43"/>
      <c r="C146" s="43"/>
      <c r="D146" s="43">
        <v>6694.4742200000001</v>
      </c>
      <c r="E146" s="43">
        <v>1111.8689999999999</v>
      </c>
      <c r="F146" s="43"/>
      <c r="G146" s="44"/>
      <c r="H146" s="45"/>
      <c r="I146" s="58">
        <v>3739.5</v>
      </c>
      <c r="J146" s="46">
        <v>9432</v>
      </c>
      <c r="K146" s="43"/>
      <c r="L146" s="45"/>
      <c r="M146" s="58"/>
      <c r="N146" s="46"/>
      <c r="O146" s="43"/>
      <c r="P146" s="55"/>
      <c r="Q146" s="46"/>
      <c r="R146" s="43"/>
      <c r="S146" s="55"/>
      <c r="T146" s="55"/>
      <c r="U146" s="46"/>
    </row>
    <row r="147" spans="1:21" s="8" customFormat="1" x14ac:dyDescent="0.2">
      <c r="A147" s="50" t="s">
        <v>133</v>
      </c>
      <c r="B147" s="43"/>
      <c r="C147" s="43"/>
      <c r="D147" s="43">
        <v>59.442999999999998</v>
      </c>
      <c r="E147" s="43"/>
      <c r="F147" s="43"/>
      <c r="G147" s="44"/>
      <c r="H147" s="45"/>
      <c r="I147" s="58">
        <v>8361.56</v>
      </c>
      <c r="J147" s="46">
        <v>8421</v>
      </c>
      <c r="K147" s="43"/>
      <c r="L147" s="45"/>
      <c r="M147" s="58"/>
      <c r="N147" s="46"/>
      <c r="O147" s="43"/>
      <c r="P147" s="55"/>
      <c r="Q147" s="46"/>
      <c r="R147" s="43"/>
      <c r="S147" s="55"/>
      <c r="T147" s="55"/>
      <c r="U147" s="46"/>
    </row>
    <row r="148" spans="1:21" s="8" customFormat="1" x14ac:dyDescent="0.2">
      <c r="A148" s="50" t="s">
        <v>134</v>
      </c>
      <c r="B148" s="43"/>
      <c r="C148" s="43"/>
      <c r="D148" s="43">
        <v>0</v>
      </c>
      <c r="E148" s="43"/>
      <c r="F148" s="43"/>
      <c r="G148" s="44"/>
      <c r="H148" s="45"/>
      <c r="I148" s="58">
        <v>9873</v>
      </c>
      <c r="J148" s="46">
        <v>9873</v>
      </c>
      <c r="K148" s="43"/>
      <c r="L148" s="45"/>
      <c r="M148" s="58"/>
      <c r="N148" s="46"/>
      <c r="O148" s="43"/>
      <c r="P148" s="55"/>
      <c r="Q148" s="46"/>
      <c r="R148" s="43"/>
      <c r="S148" s="55"/>
      <c r="T148" s="55"/>
      <c r="U148" s="46"/>
    </row>
    <row r="149" spans="1:21" s="8" customFormat="1" ht="25.5" x14ac:dyDescent="0.2">
      <c r="A149" s="53" t="s">
        <v>136</v>
      </c>
      <c r="B149" s="43"/>
      <c r="C149" s="43"/>
      <c r="D149" s="43">
        <v>13583.414140000001</v>
      </c>
      <c r="E149" s="43"/>
      <c r="F149" s="43"/>
      <c r="G149" s="44"/>
      <c r="H149" s="45"/>
      <c r="I149" s="58">
        <f>3516.58-3516.58</f>
        <v>0</v>
      </c>
      <c r="J149" s="46">
        <f>17100-3516.58</f>
        <v>13583.42</v>
      </c>
      <c r="K149" s="43"/>
      <c r="L149" s="45"/>
      <c r="M149" s="58"/>
      <c r="N149" s="46"/>
      <c r="O149" s="43"/>
      <c r="P149" s="55"/>
      <c r="Q149" s="46"/>
      <c r="R149" s="43"/>
      <c r="S149" s="55"/>
      <c r="T149" s="55"/>
      <c r="U149" s="46"/>
    </row>
    <row r="150" spans="1:21" s="8" customFormat="1" ht="25.5" x14ac:dyDescent="0.2">
      <c r="A150" s="53" t="s">
        <v>153</v>
      </c>
      <c r="B150" s="43"/>
      <c r="C150" s="43"/>
      <c r="D150" s="43"/>
      <c r="E150" s="43"/>
      <c r="F150" s="43"/>
      <c r="G150" s="44"/>
      <c r="H150" s="45"/>
      <c r="I150" s="58">
        <v>5053.58</v>
      </c>
      <c r="J150" s="46"/>
      <c r="K150" s="43"/>
      <c r="L150" s="45"/>
      <c r="M150" s="58"/>
      <c r="N150" s="58">
        <v>5053.5730000000003</v>
      </c>
      <c r="O150" s="43"/>
      <c r="P150" s="55"/>
      <c r="Q150" s="46"/>
      <c r="R150" s="43"/>
      <c r="S150" s="55"/>
      <c r="T150" s="55"/>
      <c r="U150" s="46"/>
    </row>
    <row r="151" spans="1:21" s="8" customFormat="1" ht="25.5" x14ac:dyDescent="0.2">
      <c r="A151" s="53" t="s">
        <v>154</v>
      </c>
      <c r="B151" s="43"/>
      <c r="C151" s="43"/>
      <c r="D151" s="43"/>
      <c r="E151" s="43"/>
      <c r="F151" s="43"/>
      <c r="G151" s="44"/>
      <c r="H151" s="45"/>
      <c r="I151" s="58">
        <v>5071.6099999999997</v>
      </c>
      <c r="J151" s="46"/>
      <c r="K151" s="43"/>
      <c r="L151" s="45"/>
      <c r="M151" s="58"/>
      <c r="N151" s="58">
        <v>5071.6019999999999</v>
      </c>
      <c r="O151" s="43"/>
      <c r="P151" s="55"/>
      <c r="Q151" s="46"/>
      <c r="R151" s="43"/>
      <c r="S151" s="55"/>
      <c r="T151" s="55"/>
      <c r="U151" s="46"/>
    </row>
    <row r="152" spans="1:21" s="8" customFormat="1" ht="42.75" customHeight="1" x14ac:dyDescent="0.2">
      <c r="A152" s="100" t="s">
        <v>162</v>
      </c>
      <c r="B152" s="43"/>
      <c r="C152" s="43"/>
      <c r="D152" s="43"/>
      <c r="E152" s="43"/>
      <c r="F152" s="43"/>
      <c r="G152" s="44"/>
      <c r="H152" s="45"/>
      <c r="I152" s="58"/>
      <c r="J152" s="46"/>
      <c r="K152" s="43"/>
      <c r="L152" s="45"/>
      <c r="M152" s="96">
        <v>2307.08</v>
      </c>
      <c r="N152" s="58"/>
      <c r="O152" s="43"/>
      <c r="P152" s="55"/>
      <c r="Q152" s="96">
        <v>2307.08</v>
      </c>
      <c r="R152" s="43"/>
      <c r="S152" s="55"/>
      <c r="T152" s="55"/>
      <c r="U152" s="46"/>
    </row>
    <row r="153" spans="1:21" s="8" customFormat="1" ht="42.75" customHeight="1" x14ac:dyDescent="0.2">
      <c r="A153" s="100" t="s">
        <v>164</v>
      </c>
      <c r="B153" s="43"/>
      <c r="C153" s="43"/>
      <c r="D153" s="43"/>
      <c r="E153" s="43"/>
      <c r="F153" s="43"/>
      <c r="G153" s="44"/>
      <c r="H153" s="45"/>
      <c r="I153" s="58"/>
      <c r="J153" s="46"/>
      <c r="K153" s="43"/>
      <c r="L153" s="45"/>
      <c r="M153" s="96">
        <v>3969.08</v>
      </c>
      <c r="N153" s="58"/>
      <c r="O153" s="43"/>
      <c r="P153" s="55"/>
      <c r="Q153" s="96">
        <v>3969.08</v>
      </c>
      <c r="R153" s="43"/>
      <c r="S153" s="55"/>
      <c r="T153" s="55"/>
      <c r="U153" s="46"/>
    </row>
    <row r="154" spans="1:21" s="8" customFormat="1" ht="42.75" customHeight="1" x14ac:dyDescent="0.2">
      <c r="A154" s="100" t="s">
        <v>163</v>
      </c>
      <c r="B154" s="43"/>
      <c r="C154" s="43"/>
      <c r="D154" s="43"/>
      <c r="E154" s="43"/>
      <c r="F154" s="43"/>
      <c r="G154" s="44"/>
      <c r="H154" s="45"/>
      <c r="I154" s="58"/>
      <c r="J154" s="46"/>
      <c r="K154" s="43"/>
      <c r="L154" s="45"/>
      <c r="M154" s="96">
        <v>19490.73</v>
      </c>
      <c r="N154" s="58"/>
      <c r="O154" s="43"/>
      <c r="P154" s="55"/>
      <c r="Q154" s="96">
        <v>19490.73</v>
      </c>
      <c r="R154" s="43"/>
      <c r="S154" s="55"/>
      <c r="T154" s="55"/>
      <c r="U154" s="46"/>
    </row>
    <row r="155" spans="1:21" s="8" customFormat="1" x14ac:dyDescent="0.2">
      <c r="A155" s="17" t="s">
        <v>138</v>
      </c>
      <c r="B155" s="25">
        <f>SUM(B124:B154)</f>
        <v>0</v>
      </c>
      <c r="C155" s="25">
        <f t="shared" ref="C155:U155" si="10">SUM(C124:C154)</f>
        <v>0</v>
      </c>
      <c r="D155" s="25">
        <f t="shared" si="10"/>
        <v>148609.02007999999</v>
      </c>
      <c r="E155" s="25">
        <f t="shared" si="10"/>
        <v>50290.154999999999</v>
      </c>
      <c r="F155" s="25">
        <f t="shared" si="10"/>
        <v>0</v>
      </c>
      <c r="G155" s="25">
        <f t="shared" si="10"/>
        <v>0</v>
      </c>
      <c r="H155" s="25">
        <f t="shared" si="10"/>
        <v>0</v>
      </c>
      <c r="I155" s="25">
        <f>SUM(I124:I154)</f>
        <v>121634.25000000001</v>
      </c>
      <c r="J155" s="25">
        <f t="shared" si="10"/>
        <v>183036.73</v>
      </c>
      <c r="K155" s="25">
        <f t="shared" si="10"/>
        <v>0</v>
      </c>
      <c r="L155" s="25">
        <f t="shared" si="10"/>
        <v>0</v>
      </c>
      <c r="M155" s="25">
        <f t="shared" si="10"/>
        <v>25766.89</v>
      </c>
      <c r="N155" s="25">
        <f>SUM(N124:N154)</f>
        <v>62662.595000000001</v>
      </c>
      <c r="O155" s="25">
        <f t="shared" si="10"/>
        <v>0</v>
      </c>
      <c r="P155" s="25">
        <f t="shared" si="10"/>
        <v>0</v>
      </c>
      <c r="Q155" s="25">
        <f t="shared" si="10"/>
        <v>25766.89</v>
      </c>
      <c r="R155" s="25">
        <f t="shared" si="10"/>
        <v>0</v>
      </c>
      <c r="S155" s="25">
        <f t="shared" si="10"/>
        <v>0</v>
      </c>
      <c r="T155" s="25">
        <f t="shared" si="10"/>
        <v>0</v>
      </c>
      <c r="U155" s="25">
        <f t="shared" si="10"/>
        <v>0</v>
      </c>
    </row>
    <row r="156" spans="1:21" s="8" customFormat="1" x14ac:dyDescent="0.2">
      <c r="A156" s="2"/>
      <c r="B156" s="29"/>
      <c r="C156" s="29"/>
      <c r="D156" s="29"/>
      <c r="E156" s="29"/>
      <c r="F156" s="29"/>
      <c r="G156" s="3"/>
      <c r="H156" s="3"/>
      <c r="I156" s="3"/>
      <c r="J156" s="64"/>
      <c r="K156" s="29"/>
      <c r="L156" s="3"/>
      <c r="M156" s="3"/>
      <c r="N156" s="30"/>
      <c r="O156" s="29"/>
      <c r="P156" s="3"/>
      <c r="Q156" s="30"/>
      <c r="R156" s="29"/>
      <c r="S156" s="3"/>
      <c r="T156" s="3"/>
      <c r="U156" s="30"/>
    </row>
    <row r="157" spans="1:21" s="8" customFormat="1" ht="13.5" thickBot="1" x14ac:dyDescent="0.25">
      <c r="A157" s="13" t="s">
        <v>6</v>
      </c>
      <c r="B157" s="48">
        <v>0</v>
      </c>
      <c r="C157" s="48">
        <v>484254.09123000002</v>
      </c>
      <c r="D157" s="48">
        <f t="shared" ref="D157:U157" si="11">SUM(D155,D121,D119,D114,D111,D103,D62,D49,D34)</f>
        <v>460897.52007999999</v>
      </c>
      <c r="E157" s="48">
        <f t="shared" si="11"/>
        <v>382266.45500000002</v>
      </c>
      <c r="F157" s="48">
        <f t="shared" si="11"/>
        <v>199479.2</v>
      </c>
      <c r="G157" s="48">
        <f t="shared" si="11"/>
        <v>0</v>
      </c>
      <c r="H157" s="48">
        <f t="shared" si="11"/>
        <v>973010</v>
      </c>
      <c r="I157" s="48">
        <f t="shared" si="11"/>
        <v>828888.52</v>
      </c>
      <c r="J157" s="48">
        <f t="shared" si="11"/>
        <v>832828.88</v>
      </c>
      <c r="K157" s="48">
        <f t="shared" si="11"/>
        <v>0</v>
      </c>
      <c r="L157" s="48">
        <f t="shared" si="11"/>
        <v>965899</v>
      </c>
      <c r="M157" s="48">
        <f t="shared" si="11"/>
        <v>912161.47</v>
      </c>
      <c r="N157" s="48">
        <f t="shared" si="11"/>
        <v>666477.58499999996</v>
      </c>
      <c r="O157" s="48">
        <f t="shared" si="11"/>
        <v>262305</v>
      </c>
      <c r="P157" s="48">
        <f t="shared" si="11"/>
        <v>874250</v>
      </c>
      <c r="Q157" s="48">
        <f t="shared" si="11"/>
        <v>1451767.8900000001</v>
      </c>
      <c r="R157" s="48">
        <f t="shared" si="11"/>
        <v>667334</v>
      </c>
      <c r="S157" s="48">
        <f t="shared" si="11"/>
        <v>0</v>
      </c>
      <c r="T157" s="48">
        <f t="shared" si="11"/>
        <v>0</v>
      </c>
      <c r="U157" s="48">
        <f t="shared" si="11"/>
        <v>225615</v>
      </c>
    </row>
    <row r="159" spans="1:21" x14ac:dyDescent="0.2">
      <c r="B159" s="4">
        <v>2019</v>
      </c>
      <c r="C159" s="4">
        <v>2020</v>
      </c>
      <c r="D159" s="4">
        <v>2021</v>
      </c>
      <c r="E159" s="4">
        <v>2022</v>
      </c>
      <c r="F159" s="4">
        <v>2023</v>
      </c>
      <c r="G159" s="4">
        <v>2024</v>
      </c>
      <c r="H159" s="4" t="s">
        <v>146</v>
      </c>
    </row>
    <row r="160" spans="1:21" x14ac:dyDescent="0.2">
      <c r="A160" s="49" t="s">
        <v>33</v>
      </c>
      <c r="B160" s="10"/>
      <c r="C160" s="10"/>
      <c r="D160" s="10">
        <f>F157</f>
        <v>199479.2</v>
      </c>
      <c r="E160" s="10"/>
      <c r="F160" s="10"/>
      <c r="G160" s="10"/>
      <c r="H160" s="10">
        <f>SUM(B160:G160)</f>
        <v>199479.2</v>
      </c>
    </row>
    <row r="161" spans="1:9" x14ac:dyDescent="0.2">
      <c r="A161" s="49" t="s">
        <v>152</v>
      </c>
      <c r="B161" s="10"/>
      <c r="C161" s="10"/>
      <c r="D161" s="10">
        <f>H157</f>
        <v>973010</v>
      </c>
      <c r="E161" s="10">
        <f>L157</f>
        <v>965899</v>
      </c>
      <c r="F161" s="10">
        <f>O157</f>
        <v>262305</v>
      </c>
      <c r="G161" s="10">
        <f>R157</f>
        <v>667334</v>
      </c>
      <c r="H161" s="10">
        <f t="shared" ref="H161:H164" si="12">SUM(B161:G161)</f>
        <v>2868548</v>
      </c>
      <c r="I161" s="88">
        <f>H161-3000000</f>
        <v>-131452</v>
      </c>
    </row>
    <row r="162" spans="1:9" ht="13.5" thickBot="1" x14ac:dyDescent="0.25">
      <c r="A162" s="76"/>
      <c r="B162" s="77"/>
      <c r="C162" s="77"/>
      <c r="D162" s="77"/>
      <c r="E162" s="77"/>
      <c r="F162" s="77"/>
      <c r="G162" s="77"/>
      <c r="H162" s="77"/>
    </row>
    <row r="163" spans="1:9" x14ac:dyDescent="0.2">
      <c r="A163" s="78" t="s">
        <v>145</v>
      </c>
      <c r="B163" s="79">
        <f>C157</f>
        <v>484254.09123000002</v>
      </c>
      <c r="C163" s="79">
        <f>D157</f>
        <v>460897.52007999999</v>
      </c>
      <c r="D163" s="79">
        <f>G157+I157</f>
        <v>828888.52</v>
      </c>
      <c r="E163" s="79">
        <f>M157</f>
        <v>912161.47</v>
      </c>
      <c r="F163" s="79">
        <f>P157</f>
        <v>874250</v>
      </c>
      <c r="G163" s="79">
        <f>T157</f>
        <v>0</v>
      </c>
      <c r="H163" s="80">
        <f t="shared" si="12"/>
        <v>3560451.6013099998</v>
      </c>
    </row>
    <row r="164" spans="1:9" s="14" customFormat="1" x14ac:dyDescent="0.2">
      <c r="A164" s="81" t="s">
        <v>141</v>
      </c>
      <c r="B164" s="10"/>
      <c r="C164" s="10">
        <f>E157</f>
        <v>382266.45500000002</v>
      </c>
      <c r="D164" s="10">
        <f>J157</f>
        <v>832828.88</v>
      </c>
      <c r="E164" s="10">
        <f>N157</f>
        <v>666477.58499999996</v>
      </c>
      <c r="F164" s="10">
        <f>Q157</f>
        <v>1451767.8900000001</v>
      </c>
      <c r="G164" s="10">
        <f>U157+S122</f>
        <v>225615</v>
      </c>
      <c r="H164" s="82">
        <f t="shared" si="12"/>
        <v>3558955.81</v>
      </c>
      <c r="I164" s="14">
        <f>H163-H164</f>
        <v>1495.7913099997677</v>
      </c>
    </row>
    <row r="165" spans="1:9" s="14" customFormat="1" ht="13.5" thickBot="1" x14ac:dyDescent="0.25">
      <c r="A165" s="83" t="s">
        <v>150</v>
      </c>
      <c r="B165" s="84"/>
      <c r="C165" s="85">
        <f>B163+C163-C164</f>
        <v>562885.15630999999</v>
      </c>
      <c r="D165" s="85">
        <f>C165+D163-D164</f>
        <v>558944.79631000001</v>
      </c>
      <c r="E165" s="85">
        <f>D165+E163-E164</f>
        <v>804628.6813099999</v>
      </c>
      <c r="F165" s="85">
        <f t="shared" ref="F165:G165" si="13">E165+F163-F164</f>
        <v>227110.79130999977</v>
      </c>
      <c r="G165" s="85">
        <f t="shared" si="13"/>
        <v>1495.7913099997677</v>
      </c>
      <c r="H165" s="86"/>
    </row>
  </sheetData>
  <autoFilter ref="A1:U114" xr:uid="{4ABA3BC3-8023-4B4C-A20D-DE4822BA870B}"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5">
    <mergeCell ref="A1:A2"/>
    <mergeCell ref="F1:J1"/>
    <mergeCell ref="K1:N1"/>
    <mergeCell ref="O1:Q1"/>
    <mergeCell ref="R1:U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E00F0-2F36-401A-8E38-E0E5ED326882}">
  <sheetPr>
    <tabColor theme="0" tint="-4.9989318521683403E-2"/>
  </sheetPr>
  <dimension ref="A1:U167"/>
  <sheetViews>
    <sheetView workbookViewId="0">
      <selection sqref="A1:A2"/>
    </sheetView>
  </sheetViews>
  <sheetFormatPr defaultColWidth="9.140625" defaultRowHeight="12.75" x14ac:dyDescent="0.2"/>
  <cols>
    <col min="1" max="1" width="52.42578125" style="4" customWidth="1"/>
    <col min="2" max="21" width="14.7109375" style="14" customWidth="1"/>
    <col min="22" max="16384" width="9.140625" style="4"/>
  </cols>
  <sheetData>
    <row r="1" spans="1:21" ht="21" customHeight="1" x14ac:dyDescent="0.2">
      <c r="A1" s="372" t="s">
        <v>0</v>
      </c>
      <c r="B1" s="71">
        <v>2018</v>
      </c>
      <c r="C1" s="71" t="s">
        <v>149</v>
      </c>
      <c r="D1" s="71" t="s">
        <v>147</v>
      </c>
      <c r="E1" s="71" t="s">
        <v>148</v>
      </c>
      <c r="F1" s="374" t="s">
        <v>113</v>
      </c>
      <c r="G1" s="368"/>
      <c r="H1" s="368"/>
      <c r="I1" s="368"/>
      <c r="J1" s="375"/>
      <c r="K1" s="367" t="s">
        <v>114</v>
      </c>
      <c r="L1" s="370"/>
      <c r="M1" s="371"/>
      <c r="N1" s="369"/>
      <c r="O1" s="367" t="s">
        <v>115</v>
      </c>
      <c r="P1" s="368"/>
      <c r="Q1" s="369"/>
      <c r="R1" s="367" t="s">
        <v>116</v>
      </c>
      <c r="S1" s="368"/>
      <c r="T1" s="368"/>
      <c r="U1" s="369"/>
    </row>
    <row r="2" spans="1:21" ht="25.5" x14ac:dyDescent="0.2">
      <c r="A2" s="373"/>
      <c r="B2" s="21"/>
      <c r="C2" s="21"/>
      <c r="D2" s="21"/>
      <c r="E2" s="21"/>
      <c r="F2" s="21" t="s">
        <v>143</v>
      </c>
      <c r="G2" s="75" t="s">
        <v>36</v>
      </c>
      <c r="H2" s="5" t="s">
        <v>152</v>
      </c>
      <c r="I2" s="57" t="s">
        <v>139</v>
      </c>
      <c r="J2" s="22" t="s">
        <v>140</v>
      </c>
      <c r="K2" s="21" t="s">
        <v>143</v>
      </c>
      <c r="L2" s="5" t="s">
        <v>152</v>
      </c>
      <c r="M2" s="57" t="s">
        <v>139</v>
      </c>
      <c r="N2" s="22" t="s">
        <v>140</v>
      </c>
      <c r="O2" s="5" t="s">
        <v>152</v>
      </c>
      <c r="P2" s="57" t="s">
        <v>139</v>
      </c>
      <c r="Q2" s="22" t="s">
        <v>140</v>
      </c>
      <c r="R2" s="5" t="s">
        <v>152</v>
      </c>
      <c r="S2" s="75" t="s">
        <v>36</v>
      </c>
      <c r="T2" s="57" t="s">
        <v>139</v>
      </c>
      <c r="U2" s="22" t="s">
        <v>140</v>
      </c>
    </row>
    <row r="3" spans="1:21" s="37" customFormat="1" x14ac:dyDescent="0.2">
      <c r="A3" s="38" t="s">
        <v>94</v>
      </c>
      <c r="B3" s="43"/>
      <c r="C3" s="43"/>
      <c r="D3" s="43"/>
      <c r="E3" s="43"/>
      <c r="F3" s="43"/>
      <c r="G3" s="44"/>
      <c r="H3" s="45"/>
      <c r="I3" s="58">
        <v>61500</v>
      </c>
      <c r="J3" s="46"/>
      <c r="K3" s="43"/>
      <c r="L3" s="45"/>
      <c r="M3" s="45">
        <v>12000</v>
      </c>
      <c r="N3" s="46">
        <v>73500</v>
      </c>
      <c r="O3" s="43"/>
      <c r="P3" s="45"/>
      <c r="Q3" s="46"/>
      <c r="R3" s="43"/>
      <c r="S3" s="55"/>
      <c r="T3" s="55"/>
      <c r="U3" s="46"/>
    </row>
    <row r="4" spans="1:21" s="37" customFormat="1" x14ac:dyDescent="0.2">
      <c r="A4" s="38" t="s">
        <v>95</v>
      </c>
      <c r="B4" s="43"/>
      <c r="C4" s="43"/>
      <c r="D4" s="43"/>
      <c r="E4" s="43"/>
      <c r="F4" s="43"/>
      <c r="G4" s="44"/>
      <c r="H4" s="45"/>
      <c r="I4" s="58"/>
      <c r="J4" s="46"/>
      <c r="K4" s="43"/>
      <c r="L4" s="45"/>
      <c r="M4" s="45">
        <v>41615</v>
      </c>
      <c r="N4" s="46"/>
      <c r="O4" s="43"/>
      <c r="P4" s="45">
        <v>125000</v>
      </c>
      <c r="Q4" s="46">
        <v>41000</v>
      </c>
      <c r="R4" s="43"/>
      <c r="S4" s="55"/>
      <c r="T4" s="55"/>
      <c r="U4" s="46">
        <v>125615</v>
      </c>
    </row>
    <row r="5" spans="1:21" s="37" customFormat="1" ht="25.5" x14ac:dyDescent="0.2">
      <c r="A5" s="38" t="s">
        <v>96</v>
      </c>
      <c r="B5" s="43"/>
      <c r="C5" s="43"/>
      <c r="D5" s="43"/>
      <c r="E5" s="43"/>
      <c r="F5" s="43"/>
      <c r="G5" s="44"/>
      <c r="H5" s="45"/>
      <c r="I5" s="58">
        <v>61250</v>
      </c>
      <c r="J5" s="46"/>
      <c r="K5" s="43"/>
      <c r="L5" s="45"/>
      <c r="M5" s="45"/>
      <c r="N5" s="46">
        <v>61250</v>
      </c>
      <c r="O5" s="43"/>
      <c r="P5" s="45"/>
      <c r="Q5" s="46"/>
      <c r="R5" s="43"/>
      <c r="S5" s="55"/>
      <c r="T5" s="55"/>
      <c r="U5" s="46"/>
    </row>
    <row r="6" spans="1:21" s="37" customFormat="1" x14ac:dyDescent="0.2">
      <c r="A6" s="38" t="s">
        <v>97</v>
      </c>
      <c r="B6" s="43"/>
      <c r="C6" s="43"/>
      <c r="D6" s="43"/>
      <c r="E6" s="43">
        <v>49812.41</v>
      </c>
      <c r="F6" s="43"/>
      <c r="G6" s="44"/>
      <c r="H6" s="45"/>
      <c r="I6" s="58"/>
      <c r="J6" s="46"/>
      <c r="K6" s="43"/>
      <c r="L6" s="45"/>
      <c r="M6" s="45"/>
      <c r="N6" s="46"/>
      <c r="O6" s="43"/>
      <c r="P6" s="45"/>
      <c r="Q6" s="46"/>
      <c r="R6" s="43"/>
      <c r="S6" s="55"/>
      <c r="T6" s="55"/>
      <c r="U6" s="46"/>
    </row>
    <row r="7" spans="1:21" s="37" customFormat="1" x14ac:dyDescent="0.2">
      <c r="A7" s="39" t="s">
        <v>37</v>
      </c>
      <c r="B7" s="43"/>
      <c r="C7" s="43"/>
      <c r="D7" s="43">
        <v>26008.13</v>
      </c>
      <c r="E7" s="43"/>
      <c r="F7" s="43"/>
      <c r="G7" s="44"/>
      <c r="H7" s="45"/>
      <c r="I7" s="58"/>
      <c r="J7" s="46">
        <v>26375</v>
      </c>
      <c r="K7" s="43"/>
      <c r="L7" s="45"/>
      <c r="M7" s="45"/>
      <c r="N7" s="46"/>
      <c r="O7" s="43"/>
      <c r="P7" s="45"/>
      <c r="Q7" s="46"/>
      <c r="R7" s="43"/>
      <c r="S7" s="55"/>
      <c r="T7" s="55"/>
      <c r="U7" s="46"/>
    </row>
    <row r="8" spans="1:21" s="37" customFormat="1" x14ac:dyDescent="0.2">
      <c r="A8" s="39" t="s">
        <v>39</v>
      </c>
      <c r="B8" s="43"/>
      <c r="C8" s="43"/>
      <c r="D8" s="43"/>
      <c r="E8" s="43">
        <v>28692.21</v>
      </c>
      <c r="F8" s="43"/>
      <c r="G8" s="44"/>
      <c r="H8" s="45"/>
      <c r="I8" s="58"/>
      <c r="J8" s="46"/>
      <c r="K8" s="43"/>
      <c r="L8" s="45"/>
      <c r="M8" s="45"/>
      <c r="N8" s="46"/>
      <c r="O8" s="43"/>
      <c r="P8" s="45"/>
      <c r="Q8" s="46"/>
      <c r="R8" s="43"/>
      <c r="S8" s="55"/>
      <c r="T8" s="55"/>
      <c r="U8" s="46"/>
    </row>
    <row r="9" spans="1:21" s="37" customFormat="1" x14ac:dyDescent="0.2">
      <c r="A9" s="39" t="s">
        <v>142</v>
      </c>
      <c r="B9" s="43"/>
      <c r="C9" s="43"/>
      <c r="D9" s="43">
        <v>35376.769999999997</v>
      </c>
      <c r="E9" s="43"/>
      <c r="F9" s="43"/>
      <c r="G9" s="44"/>
      <c r="H9" s="45"/>
      <c r="I9" s="58"/>
      <c r="J9" s="46">
        <v>128368</v>
      </c>
      <c r="K9" s="43"/>
      <c r="L9" s="45"/>
      <c r="M9" s="45"/>
      <c r="N9" s="46"/>
      <c r="O9" s="43"/>
      <c r="P9" s="45"/>
      <c r="Q9" s="46"/>
      <c r="R9" s="43"/>
      <c r="S9" s="55"/>
      <c r="T9" s="55"/>
      <c r="U9" s="46"/>
    </row>
    <row r="10" spans="1:21" s="37" customFormat="1" ht="25.5" x14ac:dyDescent="0.2">
      <c r="A10" s="39" t="s">
        <v>38</v>
      </c>
      <c r="B10" s="43"/>
      <c r="C10" s="43"/>
      <c r="D10" s="43">
        <v>33997.089999999997</v>
      </c>
      <c r="E10" s="43"/>
      <c r="F10" s="43"/>
      <c r="G10" s="44"/>
      <c r="H10" s="45"/>
      <c r="I10" s="58"/>
      <c r="J10" s="46">
        <v>68490.75</v>
      </c>
      <c r="K10" s="43"/>
      <c r="L10" s="45"/>
      <c r="M10" s="45"/>
      <c r="N10" s="46"/>
      <c r="O10" s="43"/>
      <c r="P10" s="45"/>
      <c r="Q10" s="46"/>
      <c r="R10" s="43"/>
      <c r="S10" s="55"/>
      <c r="T10" s="55"/>
      <c r="U10" s="46"/>
    </row>
    <row r="11" spans="1:21" s="37" customFormat="1" ht="25.5" x14ac:dyDescent="0.2">
      <c r="A11" s="39" t="s">
        <v>40</v>
      </c>
      <c r="B11" s="43"/>
      <c r="C11" s="43"/>
      <c r="D11" s="43">
        <v>20356.8</v>
      </c>
      <c r="E11" s="43">
        <v>82232.67</v>
      </c>
      <c r="F11" s="43"/>
      <c r="G11" s="44"/>
      <c r="H11" s="45"/>
      <c r="I11" s="58"/>
      <c r="J11" s="46"/>
      <c r="K11" s="43"/>
      <c r="L11" s="45"/>
      <c r="M11" s="45"/>
      <c r="N11" s="46"/>
      <c r="O11" s="43"/>
      <c r="P11" s="45"/>
      <c r="Q11" s="46"/>
      <c r="R11" s="43"/>
      <c r="S11" s="55"/>
      <c r="T11" s="55"/>
      <c r="U11" s="46"/>
    </row>
    <row r="12" spans="1:21" s="37" customFormat="1" ht="25.5" x14ac:dyDescent="0.2">
      <c r="A12" s="39" t="s">
        <v>41</v>
      </c>
      <c r="B12" s="43"/>
      <c r="C12" s="43"/>
      <c r="D12" s="43">
        <v>190.46</v>
      </c>
      <c r="E12" s="43"/>
      <c r="F12" s="43"/>
      <c r="G12" s="44"/>
      <c r="H12" s="45"/>
      <c r="I12" s="58">
        <f>40720+2059.53</f>
        <v>42779.53</v>
      </c>
      <c r="J12" s="46">
        <v>42970</v>
      </c>
      <c r="K12" s="43"/>
      <c r="L12" s="45"/>
      <c r="M12" s="45"/>
      <c r="N12" s="46"/>
      <c r="O12" s="43"/>
      <c r="P12" s="45"/>
      <c r="Q12" s="46"/>
      <c r="R12" s="43"/>
      <c r="S12" s="55"/>
      <c r="T12" s="55"/>
      <c r="U12" s="46"/>
    </row>
    <row r="13" spans="1:21" s="37" customFormat="1" ht="25.5" x14ac:dyDescent="0.2">
      <c r="A13" s="39" t="s">
        <v>43</v>
      </c>
      <c r="B13" s="43"/>
      <c r="C13" s="43"/>
      <c r="D13" s="43"/>
      <c r="E13" s="43"/>
      <c r="F13" s="43"/>
      <c r="G13" s="44"/>
      <c r="H13" s="45"/>
      <c r="I13" s="58">
        <v>73420</v>
      </c>
      <c r="J13" s="46"/>
      <c r="K13" s="43"/>
      <c r="L13" s="45"/>
      <c r="M13" s="45"/>
      <c r="N13" s="46">
        <v>73420</v>
      </c>
      <c r="O13" s="43"/>
      <c r="P13" s="45"/>
      <c r="Q13" s="46"/>
      <c r="R13" s="43"/>
      <c r="S13" s="55"/>
      <c r="T13" s="55"/>
      <c r="U13" s="46"/>
    </row>
    <row r="14" spans="1:21" s="37" customFormat="1" ht="25.5" x14ac:dyDescent="0.2">
      <c r="A14" s="39" t="s">
        <v>42</v>
      </c>
      <c r="B14" s="43"/>
      <c r="C14" s="43"/>
      <c r="D14" s="43"/>
      <c r="E14" s="43">
        <v>46106.89</v>
      </c>
      <c r="F14" s="43"/>
      <c r="G14" s="44"/>
      <c r="H14" s="45"/>
      <c r="I14" s="58"/>
      <c r="J14" s="46"/>
      <c r="K14" s="43"/>
      <c r="L14" s="45"/>
      <c r="M14" s="45"/>
      <c r="N14" s="46"/>
      <c r="O14" s="43"/>
      <c r="P14" s="45"/>
      <c r="Q14" s="46"/>
      <c r="R14" s="43"/>
      <c r="S14" s="55"/>
      <c r="T14" s="55"/>
      <c r="U14" s="46"/>
    </row>
    <row r="15" spans="1:21" s="37" customFormat="1" x14ac:dyDescent="0.2">
      <c r="A15" s="39" t="s">
        <v>44</v>
      </c>
      <c r="B15" s="43"/>
      <c r="C15" s="43"/>
      <c r="D15" s="43"/>
      <c r="E15" s="43"/>
      <c r="F15" s="43"/>
      <c r="G15" s="44"/>
      <c r="H15" s="45"/>
      <c r="I15" s="58">
        <v>39283</v>
      </c>
      <c r="J15" s="46">
        <v>39283</v>
      </c>
      <c r="K15" s="43"/>
      <c r="L15" s="45"/>
      <c r="M15" s="45"/>
      <c r="N15" s="46"/>
      <c r="O15" s="43"/>
      <c r="P15" s="45"/>
      <c r="Q15" s="46"/>
      <c r="R15" s="43"/>
      <c r="S15" s="55"/>
      <c r="T15" s="55"/>
      <c r="U15" s="46"/>
    </row>
    <row r="16" spans="1:21" s="37" customFormat="1" x14ac:dyDescent="0.2">
      <c r="A16" s="39" t="s">
        <v>45</v>
      </c>
      <c r="B16" s="43"/>
      <c r="C16" s="43"/>
      <c r="D16" s="43">
        <v>27498.560000000001</v>
      </c>
      <c r="E16" s="43"/>
      <c r="F16" s="43"/>
      <c r="G16" s="44"/>
      <c r="H16" s="45"/>
      <c r="I16" s="58">
        <v>1265.94</v>
      </c>
      <c r="J16" s="46">
        <v>28764.5</v>
      </c>
      <c r="K16" s="43"/>
      <c r="L16" s="45"/>
      <c r="M16" s="45"/>
      <c r="N16" s="46"/>
      <c r="O16" s="43"/>
      <c r="P16" s="45"/>
      <c r="Q16" s="46"/>
      <c r="R16" s="43"/>
      <c r="S16" s="55"/>
      <c r="T16" s="55"/>
      <c r="U16" s="46"/>
    </row>
    <row r="17" spans="1:21" s="37" customFormat="1" ht="25.5" x14ac:dyDescent="0.2">
      <c r="A17" s="39" t="s">
        <v>46</v>
      </c>
      <c r="B17" s="43"/>
      <c r="C17" s="43"/>
      <c r="D17" s="43"/>
      <c r="E17" s="43"/>
      <c r="F17" s="43"/>
      <c r="G17" s="44"/>
      <c r="H17" s="45"/>
      <c r="I17" s="58"/>
      <c r="J17" s="46"/>
      <c r="K17" s="43"/>
      <c r="L17" s="45"/>
      <c r="M17" s="45"/>
      <c r="N17" s="46"/>
      <c r="O17" s="43"/>
      <c r="P17" s="45">
        <v>63270</v>
      </c>
      <c r="Q17" s="46">
        <v>63270</v>
      </c>
      <c r="R17" s="43"/>
      <c r="S17" s="55"/>
      <c r="T17" s="55"/>
      <c r="U17" s="46"/>
    </row>
    <row r="18" spans="1:21" s="37" customFormat="1" x14ac:dyDescent="0.2">
      <c r="A18" s="39" t="s">
        <v>47</v>
      </c>
      <c r="B18" s="43"/>
      <c r="C18" s="43"/>
      <c r="D18" s="43"/>
      <c r="E18" s="43"/>
      <c r="F18" s="43"/>
      <c r="G18" s="44"/>
      <c r="H18" s="45"/>
      <c r="I18" s="58">
        <v>60100</v>
      </c>
      <c r="J18" s="46"/>
      <c r="K18" s="43"/>
      <c r="L18" s="45"/>
      <c r="M18" s="45">
        <v>35178</v>
      </c>
      <c r="N18" s="46"/>
      <c r="O18" s="43"/>
      <c r="P18" s="45"/>
      <c r="Q18" s="46">
        <v>95278</v>
      </c>
      <c r="R18" s="43"/>
      <c r="S18" s="55"/>
      <c r="T18" s="55"/>
      <c r="U18" s="46"/>
    </row>
    <row r="19" spans="1:21" s="37" customFormat="1" x14ac:dyDescent="0.2">
      <c r="A19" s="39" t="s">
        <v>48</v>
      </c>
      <c r="B19" s="43"/>
      <c r="C19" s="43"/>
      <c r="D19" s="43"/>
      <c r="E19" s="43"/>
      <c r="F19" s="43"/>
      <c r="G19" s="44"/>
      <c r="H19" s="45"/>
      <c r="I19" s="58"/>
      <c r="J19" s="46"/>
      <c r="K19" s="43"/>
      <c r="L19" s="45"/>
      <c r="M19" s="45">
        <v>34440</v>
      </c>
      <c r="N19" s="46">
        <v>34440</v>
      </c>
      <c r="O19" s="43"/>
      <c r="P19" s="45"/>
      <c r="Q19" s="46"/>
      <c r="R19" s="43"/>
      <c r="S19" s="55"/>
      <c r="T19" s="55"/>
      <c r="U19" s="46"/>
    </row>
    <row r="20" spans="1:21" s="37" customFormat="1" ht="25.5" x14ac:dyDescent="0.2">
      <c r="A20" s="39" t="s">
        <v>49</v>
      </c>
      <c r="B20" s="43"/>
      <c r="C20" s="43"/>
      <c r="D20" s="43"/>
      <c r="E20" s="43"/>
      <c r="F20" s="43"/>
      <c r="G20" s="44"/>
      <c r="H20" s="45"/>
      <c r="I20" s="58"/>
      <c r="J20" s="46"/>
      <c r="K20" s="43"/>
      <c r="L20" s="45"/>
      <c r="M20" s="45"/>
      <c r="N20" s="46"/>
      <c r="O20" s="43"/>
      <c r="P20" s="45">
        <v>45465</v>
      </c>
      <c r="Q20" s="46">
        <v>45465</v>
      </c>
      <c r="R20" s="43"/>
      <c r="S20" s="55"/>
      <c r="T20" s="55"/>
      <c r="U20" s="46"/>
    </row>
    <row r="21" spans="1:21" s="37" customFormat="1" ht="38.25" x14ac:dyDescent="0.2">
      <c r="A21" s="39" t="s">
        <v>50</v>
      </c>
      <c r="B21" s="43"/>
      <c r="C21" s="43"/>
      <c r="D21" s="43"/>
      <c r="E21" s="43"/>
      <c r="F21" s="43"/>
      <c r="G21" s="44"/>
      <c r="H21" s="45"/>
      <c r="I21" s="58"/>
      <c r="J21" s="46"/>
      <c r="K21" s="43"/>
      <c r="L21" s="45"/>
      <c r="M21" s="45"/>
      <c r="N21" s="46"/>
      <c r="O21" s="43"/>
      <c r="P21" s="45">
        <v>121800</v>
      </c>
      <c r="Q21" s="46">
        <v>121800</v>
      </c>
      <c r="R21" s="43"/>
      <c r="S21" s="55"/>
      <c r="T21" s="55"/>
      <c r="U21" s="46"/>
    </row>
    <row r="22" spans="1:21" s="37" customFormat="1" ht="25.5" x14ac:dyDescent="0.2">
      <c r="A22" s="39" t="s">
        <v>51</v>
      </c>
      <c r="B22" s="43"/>
      <c r="C22" s="43"/>
      <c r="D22" s="43"/>
      <c r="E22" s="43"/>
      <c r="F22" s="43"/>
      <c r="G22" s="44"/>
      <c r="H22" s="45"/>
      <c r="I22" s="58"/>
      <c r="J22" s="46"/>
      <c r="K22" s="43"/>
      <c r="L22" s="45"/>
      <c r="M22" s="45"/>
      <c r="N22" s="46"/>
      <c r="O22" s="43"/>
      <c r="P22" s="45">
        <v>45163</v>
      </c>
      <c r="Q22" s="46">
        <v>45163</v>
      </c>
      <c r="R22" s="43"/>
      <c r="S22" s="55"/>
      <c r="T22" s="55"/>
      <c r="U22" s="46"/>
    </row>
    <row r="23" spans="1:21" s="37" customFormat="1" ht="25.5" x14ac:dyDescent="0.2">
      <c r="A23" s="39" t="s">
        <v>52</v>
      </c>
      <c r="B23" s="43"/>
      <c r="C23" s="43"/>
      <c r="D23" s="43"/>
      <c r="E23" s="43"/>
      <c r="F23" s="43"/>
      <c r="G23" s="44"/>
      <c r="H23" s="45"/>
      <c r="I23" s="58">
        <v>0</v>
      </c>
      <c r="J23" s="46"/>
      <c r="K23" s="43"/>
      <c r="L23" s="45"/>
      <c r="M23" s="45"/>
      <c r="N23" s="46"/>
      <c r="O23" s="43"/>
      <c r="P23" s="45">
        <v>14720</v>
      </c>
      <c r="Q23" s="46">
        <v>14720</v>
      </c>
      <c r="R23" s="43"/>
      <c r="S23" s="55"/>
      <c r="T23" s="55"/>
      <c r="U23" s="46"/>
    </row>
    <row r="24" spans="1:21" s="37" customFormat="1" ht="25.5" x14ac:dyDescent="0.2">
      <c r="A24" s="39" t="s">
        <v>53</v>
      </c>
      <c r="B24" s="43"/>
      <c r="C24" s="43"/>
      <c r="D24" s="43"/>
      <c r="E24" s="43"/>
      <c r="F24" s="43"/>
      <c r="G24" s="44"/>
      <c r="H24" s="45"/>
      <c r="I24" s="58"/>
      <c r="J24" s="46"/>
      <c r="K24" s="43"/>
      <c r="L24" s="45"/>
      <c r="M24" s="45"/>
      <c r="N24" s="46"/>
      <c r="O24" s="43"/>
      <c r="P24" s="45">
        <v>13293</v>
      </c>
      <c r="Q24" s="46">
        <v>13293</v>
      </c>
      <c r="R24" s="43"/>
      <c r="S24" s="55"/>
      <c r="T24" s="55"/>
      <c r="U24" s="46"/>
    </row>
    <row r="25" spans="1:21" s="37" customFormat="1" ht="25.5" x14ac:dyDescent="0.2">
      <c r="A25" s="39" t="s">
        <v>54</v>
      </c>
      <c r="B25" s="43"/>
      <c r="C25" s="43"/>
      <c r="D25" s="43"/>
      <c r="E25" s="43"/>
      <c r="F25" s="43"/>
      <c r="G25" s="44"/>
      <c r="H25" s="45"/>
      <c r="I25" s="58"/>
      <c r="J25" s="46"/>
      <c r="K25" s="43"/>
      <c r="L25" s="45"/>
      <c r="M25" s="45">
        <v>87137</v>
      </c>
      <c r="N25" s="46"/>
      <c r="O25" s="43"/>
      <c r="P25" s="45">
        <v>18000</v>
      </c>
      <c r="Q25" s="46">
        <v>105137</v>
      </c>
      <c r="R25" s="43"/>
      <c r="S25" s="55"/>
      <c r="T25" s="55"/>
      <c r="U25" s="46"/>
    </row>
    <row r="26" spans="1:21" s="37" customFormat="1" ht="25.5" x14ac:dyDescent="0.2">
      <c r="A26" s="39" t="s">
        <v>55</v>
      </c>
      <c r="B26" s="43"/>
      <c r="C26" s="43"/>
      <c r="D26" s="43"/>
      <c r="E26" s="43"/>
      <c r="F26" s="43"/>
      <c r="G26" s="44"/>
      <c r="H26" s="45"/>
      <c r="I26" s="58">
        <v>59400</v>
      </c>
      <c r="J26" s="46"/>
      <c r="K26" s="43"/>
      <c r="L26" s="45"/>
      <c r="M26" s="45">
        <v>52590</v>
      </c>
      <c r="N26" s="46"/>
      <c r="O26" s="43"/>
      <c r="P26" s="45"/>
      <c r="Q26" s="46">
        <v>111990</v>
      </c>
      <c r="R26" s="43"/>
      <c r="S26" s="55"/>
      <c r="T26" s="55"/>
      <c r="U26" s="46"/>
    </row>
    <row r="27" spans="1:21" s="37" customFormat="1" ht="25.5" x14ac:dyDescent="0.2">
      <c r="A27" s="39" t="s">
        <v>56</v>
      </c>
      <c r="B27" s="43"/>
      <c r="C27" s="43"/>
      <c r="D27" s="43"/>
      <c r="E27" s="43"/>
      <c r="F27" s="43"/>
      <c r="G27" s="44"/>
      <c r="H27" s="45"/>
      <c r="I27" s="58"/>
      <c r="J27" s="46"/>
      <c r="K27" s="43"/>
      <c r="L27" s="45"/>
      <c r="M27" s="45"/>
      <c r="N27" s="46"/>
      <c r="O27" s="43"/>
      <c r="P27" s="45">
        <v>25800</v>
      </c>
      <c r="Q27" s="46">
        <v>25800</v>
      </c>
      <c r="R27" s="43"/>
      <c r="S27" s="55"/>
      <c r="T27" s="55"/>
      <c r="U27" s="46"/>
    </row>
    <row r="28" spans="1:21" s="37" customFormat="1" x14ac:dyDescent="0.2">
      <c r="A28" s="39" t="s">
        <v>57</v>
      </c>
      <c r="B28" s="43"/>
      <c r="C28" s="43"/>
      <c r="D28" s="43"/>
      <c r="E28" s="43"/>
      <c r="F28" s="43"/>
      <c r="G28" s="44"/>
      <c r="H28" s="45"/>
      <c r="I28" s="58">
        <v>23100</v>
      </c>
      <c r="J28" s="46"/>
      <c r="K28" s="43"/>
      <c r="L28" s="45"/>
      <c r="M28" s="45">
        <v>71981</v>
      </c>
      <c r="N28" s="46"/>
      <c r="O28" s="43"/>
      <c r="P28" s="45">
        <v>4500</v>
      </c>
      <c r="Q28" s="46">
        <v>99581</v>
      </c>
      <c r="R28" s="43"/>
      <c r="S28" s="55"/>
      <c r="T28" s="55"/>
      <c r="U28" s="46"/>
    </row>
    <row r="29" spans="1:21" s="37" customFormat="1" x14ac:dyDescent="0.2">
      <c r="A29" s="39" t="s">
        <v>58</v>
      </c>
      <c r="B29" s="43"/>
      <c r="C29" s="43"/>
      <c r="D29" s="43"/>
      <c r="E29" s="43"/>
      <c r="F29" s="43"/>
      <c r="G29" s="44"/>
      <c r="H29" s="45"/>
      <c r="I29" s="58">
        <v>3930</v>
      </c>
      <c r="J29" s="46">
        <v>3930</v>
      </c>
      <c r="K29" s="43"/>
      <c r="L29" s="45"/>
      <c r="M29" s="45"/>
      <c r="N29" s="46"/>
      <c r="O29" s="43"/>
      <c r="P29" s="45"/>
      <c r="Q29" s="46"/>
      <c r="R29" s="43"/>
      <c r="S29" s="55"/>
      <c r="T29" s="55"/>
      <c r="U29" s="46"/>
    </row>
    <row r="30" spans="1:21" s="37" customFormat="1" x14ac:dyDescent="0.2">
      <c r="A30" s="39" t="s">
        <v>59</v>
      </c>
      <c r="B30" s="43"/>
      <c r="C30" s="43"/>
      <c r="D30" s="43"/>
      <c r="E30" s="43"/>
      <c r="F30" s="43"/>
      <c r="G30" s="44"/>
      <c r="H30" s="45"/>
      <c r="I30" s="58">
        <v>3273</v>
      </c>
      <c r="J30" s="46">
        <v>3273</v>
      </c>
      <c r="K30" s="43"/>
      <c r="L30" s="45"/>
      <c r="M30" s="45"/>
      <c r="N30" s="46"/>
      <c r="O30" s="43"/>
      <c r="P30" s="45"/>
      <c r="Q30" s="46"/>
      <c r="R30" s="43"/>
      <c r="S30" s="55"/>
      <c r="T30" s="55"/>
      <c r="U30" s="46"/>
    </row>
    <row r="31" spans="1:21" s="37" customFormat="1" x14ac:dyDescent="0.2">
      <c r="A31" s="39" t="s">
        <v>60</v>
      </c>
      <c r="B31" s="43"/>
      <c r="C31" s="43"/>
      <c r="D31" s="43"/>
      <c r="E31" s="43"/>
      <c r="F31" s="43"/>
      <c r="G31" s="44"/>
      <c r="H31" s="45"/>
      <c r="I31" s="58">
        <v>1667</v>
      </c>
      <c r="J31" s="46">
        <v>1667</v>
      </c>
      <c r="K31" s="43"/>
      <c r="L31" s="45"/>
      <c r="M31" s="45"/>
      <c r="N31" s="46"/>
      <c r="O31" s="43"/>
      <c r="P31" s="45"/>
      <c r="Q31" s="46"/>
      <c r="R31" s="43"/>
      <c r="S31" s="55"/>
      <c r="T31" s="55"/>
      <c r="U31" s="46"/>
    </row>
    <row r="32" spans="1:21" ht="25.5" x14ac:dyDescent="0.2">
      <c r="A32" s="16" t="s">
        <v>26</v>
      </c>
      <c r="B32" s="23"/>
      <c r="C32" s="23"/>
      <c r="D32" s="23"/>
      <c r="E32" s="23"/>
      <c r="F32" s="23"/>
      <c r="G32" s="6"/>
      <c r="H32" s="104">
        <v>807</v>
      </c>
      <c r="I32" s="59"/>
      <c r="J32" s="24"/>
      <c r="K32" s="31"/>
      <c r="L32" s="105">
        <v>130993</v>
      </c>
      <c r="M32" s="7"/>
      <c r="N32" s="32"/>
      <c r="O32" s="23"/>
      <c r="P32" s="7"/>
      <c r="Q32" s="24"/>
      <c r="R32" s="23"/>
      <c r="S32" s="56"/>
      <c r="T32" s="56"/>
      <c r="U32" s="24"/>
    </row>
    <row r="33" spans="1:21" ht="38.25" x14ac:dyDescent="0.2">
      <c r="A33" s="16" t="s">
        <v>25</v>
      </c>
      <c r="B33" s="23"/>
      <c r="C33" s="23"/>
      <c r="D33" s="23"/>
      <c r="E33" s="23"/>
      <c r="F33" s="23"/>
      <c r="G33" s="6"/>
      <c r="H33" s="104">
        <v>27298</v>
      </c>
      <c r="I33" s="59"/>
      <c r="J33" s="24"/>
      <c r="K33" s="31"/>
      <c r="L33" s="105">
        <v>29993</v>
      </c>
      <c r="M33" s="7"/>
      <c r="N33" s="32"/>
      <c r="O33" s="106">
        <v>64999</v>
      </c>
      <c r="P33" s="7"/>
      <c r="Q33" s="24"/>
      <c r="R33" s="106">
        <v>3710</v>
      </c>
      <c r="S33" s="56"/>
      <c r="T33" s="56"/>
      <c r="U33" s="24"/>
    </row>
    <row r="34" spans="1:21" s="8" customFormat="1" x14ac:dyDescent="0.2">
      <c r="A34" s="17" t="s">
        <v>31</v>
      </c>
      <c r="B34" s="25">
        <f t="shared" ref="B34:R34" si="0">SUM(B3:B33)</f>
        <v>0</v>
      </c>
      <c r="C34" s="25">
        <f t="shared" si="0"/>
        <v>0</v>
      </c>
      <c r="D34" s="25">
        <f t="shared" si="0"/>
        <v>143427.81</v>
      </c>
      <c r="E34" s="25">
        <f t="shared" si="0"/>
        <v>206844.18</v>
      </c>
      <c r="F34" s="25">
        <f t="shared" si="0"/>
        <v>0</v>
      </c>
      <c r="G34" s="1">
        <f t="shared" si="0"/>
        <v>0</v>
      </c>
      <c r="H34" s="1">
        <f t="shared" si="0"/>
        <v>28105</v>
      </c>
      <c r="I34" s="60">
        <f t="shared" si="0"/>
        <v>430968.47000000003</v>
      </c>
      <c r="J34" s="63">
        <f t="shared" si="0"/>
        <v>343121.25</v>
      </c>
      <c r="K34" s="25">
        <f t="shared" si="0"/>
        <v>0</v>
      </c>
      <c r="L34" s="1">
        <f t="shared" si="0"/>
        <v>160986</v>
      </c>
      <c r="M34" s="1">
        <f t="shared" si="0"/>
        <v>334941</v>
      </c>
      <c r="N34" s="26">
        <f t="shared" si="0"/>
        <v>242610</v>
      </c>
      <c r="O34" s="25">
        <f t="shared" si="0"/>
        <v>64999</v>
      </c>
      <c r="P34" s="25">
        <f t="shared" si="0"/>
        <v>477011</v>
      </c>
      <c r="Q34" s="26">
        <f t="shared" si="0"/>
        <v>782497</v>
      </c>
      <c r="R34" s="25">
        <f t="shared" si="0"/>
        <v>3710</v>
      </c>
      <c r="S34" s="25"/>
      <c r="T34" s="25">
        <f>SUM(T3:T33)</f>
        <v>0</v>
      </c>
      <c r="U34" s="26">
        <f>SUM(U3:U33)</f>
        <v>125615</v>
      </c>
    </row>
    <row r="35" spans="1:21" s="37" customFormat="1" ht="25.5" x14ac:dyDescent="0.2">
      <c r="A35" s="38" t="s">
        <v>101</v>
      </c>
      <c r="B35" s="43"/>
      <c r="C35" s="43"/>
      <c r="D35" s="43">
        <v>9288.98</v>
      </c>
      <c r="E35" s="43">
        <v>0</v>
      </c>
      <c r="F35" s="43"/>
      <c r="G35" s="44"/>
      <c r="H35" s="45"/>
      <c r="I35" s="58">
        <v>247.28</v>
      </c>
      <c r="J35" s="97">
        <v>8965</v>
      </c>
      <c r="K35" s="43"/>
      <c r="L35" s="45"/>
      <c r="M35" s="45"/>
      <c r="N35" s="46"/>
      <c r="O35" s="43"/>
      <c r="P35" s="55"/>
      <c r="Q35" s="46"/>
      <c r="R35" s="43"/>
      <c r="S35" s="55"/>
      <c r="T35" s="55"/>
      <c r="U35" s="46"/>
    </row>
    <row r="36" spans="1:21" s="37" customFormat="1" x14ac:dyDescent="0.2">
      <c r="A36" s="39" t="s">
        <v>61</v>
      </c>
      <c r="B36" s="43"/>
      <c r="C36" s="43"/>
      <c r="D36" s="43">
        <v>3466.25</v>
      </c>
      <c r="E36" s="43"/>
      <c r="F36" s="43"/>
      <c r="G36" s="44"/>
      <c r="H36" s="45"/>
      <c r="I36" s="58">
        <f>6095+56.28</f>
        <v>6151.28</v>
      </c>
      <c r="J36" s="46">
        <v>19892.599999999999</v>
      </c>
      <c r="K36" s="43"/>
      <c r="L36" s="45"/>
      <c r="M36" s="45"/>
      <c r="N36" s="46"/>
      <c r="O36" s="43"/>
      <c r="P36" s="55"/>
      <c r="Q36" s="46"/>
      <c r="R36" s="43"/>
      <c r="S36" s="55"/>
      <c r="T36" s="55"/>
      <c r="U36" s="46"/>
    </row>
    <row r="37" spans="1:21" s="37" customFormat="1" x14ac:dyDescent="0.2">
      <c r="A37" s="39" t="s">
        <v>62</v>
      </c>
      <c r="B37" s="43"/>
      <c r="C37" s="43"/>
      <c r="D37" s="43">
        <v>8810.76</v>
      </c>
      <c r="E37" s="43">
        <v>289.41000000000003</v>
      </c>
      <c r="F37" s="43"/>
      <c r="G37" s="44"/>
      <c r="H37" s="45"/>
      <c r="I37" s="58"/>
      <c r="J37" s="46">
        <v>23274.1</v>
      </c>
      <c r="K37" s="43"/>
      <c r="L37" s="45"/>
      <c r="M37" s="45"/>
      <c r="N37" s="46"/>
      <c r="O37" s="43"/>
      <c r="P37" s="55"/>
      <c r="Q37" s="46"/>
      <c r="R37" s="43"/>
      <c r="S37" s="55"/>
      <c r="T37" s="55"/>
      <c r="U37" s="46"/>
    </row>
    <row r="38" spans="1:21" s="37" customFormat="1" x14ac:dyDescent="0.2">
      <c r="A38" s="39" t="s">
        <v>63</v>
      </c>
      <c r="B38" s="43"/>
      <c r="C38" s="43"/>
      <c r="D38" s="43"/>
      <c r="E38" s="43">
        <v>21763.89</v>
      </c>
      <c r="F38" s="43"/>
      <c r="G38" s="44"/>
      <c r="H38" s="45"/>
      <c r="I38" s="58"/>
      <c r="J38" s="46"/>
      <c r="K38" s="43"/>
      <c r="L38" s="45"/>
      <c r="M38" s="45"/>
      <c r="N38" s="46"/>
      <c r="O38" s="43"/>
      <c r="P38" s="55"/>
      <c r="Q38" s="46"/>
      <c r="R38" s="43"/>
      <c r="S38" s="55"/>
      <c r="T38" s="55"/>
      <c r="U38" s="46"/>
    </row>
    <row r="39" spans="1:21" s="37" customFormat="1" ht="25.5" x14ac:dyDescent="0.2">
      <c r="A39" s="39" t="s">
        <v>64</v>
      </c>
      <c r="B39" s="43"/>
      <c r="C39" s="43"/>
      <c r="D39" s="43">
        <v>22429.23</v>
      </c>
      <c r="E39" s="43">
        <v>76086.210000000006</v>
      </c>
      <c r="F39" s="43"/>
      <c r="G39" s="44"/>
      <c r="H39" s="45"/>
      <c r="I39" s="58"/>
      <c r="J39" s="46"/>
      <c r="K39" s="43"/>
      <c r="L39" s="45"/>
      <c r="M39" s="45"/>
      <c r="N39" s="46"/>
      <c r="O39" s="43"/>
      <c r="P39" s="55"/>
      <c r="Q39" s="46"/>
      <c r="R39" s="43"/>
      <c r="S39" s="55"/>
      <c r="T39" s="55"/>
      <c r="U39" s="46"/>
    </row>
    <row r="40" spans="1:21" s="37" customFormat="1" x14ac:dyDescent="0.2">
      <c r="A40" s="39" t="s">
        <v>65</v>
      </c>
      <c r="B40" s="43"/>
      <c r="C40" s="43"/>
      <c r="D40" s="43">
        <v>64478.93</v>
      </c>
      <c r="E40" s="43"/>
      <c r="F40" s="43"/>
      <c r="G40" s="44"/>
      <c r="H40" s="45"/>
      <c r="I40" s="58">
        <f>15683+2177.01</f>
        <v>17860.010000000002</v>
      </c>
      <c r="J40" s="46">
        <v>100144</v>
      </c>
      <c r="K40" s="43"/>
      <c r="L40" s="45"/>
      <c r="M40" s="45"/>
      <c r="N40" s="46"/>
      <c r="O40" s="43"/>
      <c r="P40" s="55"/>
      <c r="Q40" s="46"/>
      <c r="R40" s="43"/>
      <c r="S40" s="55"/>
      <c r="T40" s="55"/>
      <c r="U40" s="46"/>
    </row>
    <row r="41" spans="1:21" s="37" customFormat="1" x14ac:dyDescent="0.2">
      <c r="A41" s="39" t="s">
        <v>66</v>
      </c>
      <c r="B41" s="43"/>
      <c r="C41" s="43"/>
      <c r="D41" s="43"/>
      <c r="E41" s="43"/>
      <c r="F41" s="43"/>
      <c r="G41" s="44"/>
      <c r="H41" s="45"/>
      <c r="I41" s="58"/>
      <c r="J41" s="46"/>
      <c r="K41" s="43"/>
      <c r="L41" s="45"/>
      <c r="M41" s="45"/>
      <c r="N41" s="46"/>
      <c r="O41" s="43"/>
      <c r="P41" s="55"/>
      <c r="Q41" s="46"/>
      <c r="R41" s="43"/>
      <c r="S41" s="55"/>
      <c r="T41" s="55"/>
      <c r="U41" s="46"/>
    </row>
    <row r="42" spans="1:21" s="37" customFormat="1" x14ac:dyDescent="0.2">
      <c r="A42" s="39" t="s">
        <v>67</v>
      </c>
      <c r="B42" s="43"/>
      <c r="C42" s="43"/>
      <c r="D42" s="43"/>
      <c r="E42" s="43"/>
      <c r="F42" s="43"/>
      <c r="G42" s="44"/>
      <c r="H42" s="45"/>
      <c r="I42" s="58"/>
      <c r="J42" s="46"/>
      <c r="K42" s="43"/>
      <c r="L42" s="45"/>
      <c r="M42" s="45">
        <v>16540</v>
      </c>
      <c r="N42" s="46">
        <v>16540</v>
      </c>
      <c r="O42" s="43"/>
      <c r="P42" s="55"/>
      <c r="Q42" s="46"/>
      <c r="R42" s="43"/>
      <c r="S42" s="55"/>
      <c r="T42" s="55"/>
      <c r="U42" s="46"/>
    </row>
    <row r="43" spans="1:21" s="37" customFormat="1" ht="25.5" x14ac:dyDescent="0.2">
      <c r="A43" s="39" t="s">
        <v>68</v>
      </c>
      <c r="B43" s="43"/>
      <c r="C43" s="43"/>
      <c r="D43" s="43">
        <v>1576.58</v>
      </c>
      <c r="E43" s="43"/>
      <c r="F43" s="43"/>
      <c r="G43" s="44"/>
      <c r="H43" s="45"/>
      <c r="I43" s="58">
        <f>23400+1894.3</f>
        <v>25294.3</v>
      </c>
      <c r="J43" s="46"/>
      <c r="K43" s="43"/>
      <c r="L43" s="45"/>
      <c r="M43" s="45">
        <v>9848.58</v>
      </c>
      <c r="N43" s="46">
        <v>36719.47</v>
      </c>
      <c r="O43" s="43"/>
      <c r="P43" s="55"/>
      <c r="Q43" s="46"/>
      <c r="R43" s="43"/>
      <c r="S43" s="55"/>
      <c r="T43" s="55"/>
      <c r="U43" s="46"/>
    </row>
    <row r="44" spans="1:21" x14ac:dyDescent="0.2">
      <c r="A44" s="110" t="s">
        <v>5</v>
      </c>
      <c r="B44" s="27"/>
      <c r="C44" s="27"/>
      <c r="D44" s="27"/>
      <c r="E44" s="27"/>
      <c r="F44" s="27">
        <v>37193.040000000001</v>
      </c>
      <c r="G44" s="11"/>
      <c r="H44" s="111">
        <v>17174</v>
      </c>
      <c r="I44" s="61"/>
      <c r="J44" s="28"/>
      <c r="K44" s="47"/>
      <c r="L44" s="111">
        <v>50000</v>
      </c>
      <c r="M44" s="12"/>
      <c r="N44" s="33"/>
      <c r="O44" s="36">
        <v>50000</v>
      </c>
      <c r="P44" s="65"/>
      <c r="Q44" s="33"/>
      <c r="R44" s="43">
        <v>382334</v>
      </c>
      <c r="S44" s="55"/>
      <c r="T44" s="55"/>
      <c r="U44" s="46"/>
    </row>
    <row r="45" spans="1:21" x14ac:dyDescent="0.2">
      <c r="A45" s="16" t="s">
        <v>2</v>
      </c>
      <c r="B45" s="23"/>
      <c r="C45" s="23"/>
      <c r="D45" s="23"/>
      <c r="E45" s="23"/>
      <c r="F45" s="23">
        <v>71.91</v>
      </c>
      <c r="G45" s="6"/>
      <c r="H45" s="6">
        <v>2760</v>
      </c>
      <c r="I45" s="59"/>
      <c r="J45" s="24"/>
      <c r="K45" s="47"/>
      <c r="L45" s="9">
        <v>9940</v>
      </c>
      <c r="M45" s="9"/>
      <c r="N45" s="34"/>
      <c r="O45" s="23">
        <v>60448</v>
      </c>
      <c r="P45" s="56"/>
      <c r="Q45" s="24"/>
      <c r="R45" s="23">
        <v>220000</v>
      </c>
      <c r="S45" s="56"/>
      <c r="T45" s="56"/>
      <c r="U45" s="24"/>
    </row>
    <row r="46" spans="1:21" x14ac:dyDescent="0.2">
      <c r="A46" s="16" t="s">
        <v>3</v>
      </c>
      <c r="B46" s="23"/>
      <c r="C46" s="23"/>
      <c r="D46" s="23"/>
      <c r="E46" s="23"/>
      <c r="F46" s="23"/>
      <c r="G46" s="6"/>
      <c r="H46" s="104">
        <v>22000</v>
      </c>
      <c r="I46" s="59"/>
      <c r="J46" s="24"/>
      <c r="K46" s="47"/>
      <c r="L46" s="105">
        <v>13215</v>
      </c>
      <c r="M46" s="7"/>
      <c r="N46" s="32"/>
      <c r="O46" s="23"/>
      <c r="P46" s="56"/>
      <c r="Q46" s="24"/>
      <c r="R46" s="23"/>
      <c r="S46" s="56"/>
      <c r="T46" s="56"/>
      <c r="U46" s="24"/>
    </row>
    <row r="47" spans="1:21" x14ac:dyDescent="0.2">
      <c r="A47" s="16" t="s">
        <v>1</v>
      </c>
      <c r="B47" s="23"/>
      <c r="C47" s="23"/>
      <c r="D47" s="23"/>
      <c r="E47" s="23"/>
      <c r="F47" s="23"/>
      <c r="G47" s="6"/>
      <c r="H47" s="6"/>
      <c r="I47" s="59"/>
      <c r="J47" s="24"/>
      <c r="K47" s="35"/>
      <c r="L47" s="7"/>
      <c r="M47" s="7"/>
      <c r="N47" s="32"/>
      <c r="O47" s="23">
        <v>30000</v>
      </c>
      <c r="P47" s="56"/>
      <c r="Q47" s="24"/>
      <c r="R47" s="23">
        <v>65000</v>
      </c>
      <c r="S47" s="56"/>
      <c r="T47" s="56"/>
      <c r="U47" s="24"/>
    </row>
    <row r="48" spans="1:21" x14ac:dyDescent="0.2">
      <c r="A48" s="16" t="s">
        <v>4</v>
      </c>
      <c r="B48" s="23"/>
      <c r="C48" s="23"/>
      <c r="D48" s="23"/>
      <c r="E48" s="23"/>
      <c r="F48" s="23"/>
      <c r="G48" s="6"/>
      <c r="H48" s="104">
        <v>25000</v>
      </c>
      <c r="I48" s="59"/>
      <c r="J48" s="24"/>
      <c r="K48" s="47"/>
      <c r="L48" s="105">
        <v>70000</v>
      </c>
      <c r="M48" s="7"/>
      <c r="N48" s="32"/>
      <c r="O48" s="23"/>
      <c r="P48" s="56"/>
      <c r="Q48" s="24"/>
      <c r="R48" s="23"/>
      <c r="S48" s="56"/>
      <c r="T48" s="56"/>
      <c r="U48" s="24"/>
    </row>
    <row r="49" spans="1:21" s="8" customFormat="1" x14ac:dyDescent="0.2">
      <c r="A49" s="17" t="s">
        <v>27</v>
      </c>
      <c r="B49" s="25">
        <f t="shared" ref="B49:R49" si="1">SUM(B35:B48)</f>
        <v>0</v>
      </c>
      <c r="C49" s="25">
        <f t="shared" si="1"/>
        <v>0</v>
      </c>
      <c r="D49" s="25">
        <f t="shared" si="1"/>
        <v>110050.73</v>
      </c>
      <c r="E49" s="25">
        <f t="shared" si="1"/>
        <v>98139.510000000009</v>
      </c>
      <c r="F49" s="25">
        <f t="shared" si="1"/>
        <v>37264.950000000004</v>
      </c>
      <c r="G49" s="1">
        <f t="shared" si="1"/>
        <v>0</v>
      </c>
      <c r="H49" s="1">
        <f t="shared" si="1"/>
        <v>66934</v>
      </c>
      <c r="I49" s="60">
        <f t="shared" si="1"/>
        <v>49552.869999999995</v>
      </c>
      <c r="J49" s="63">
        <f t="shared" si="1"/>
        <v>152275.70000000001</v>
      </c>
      <c r="K49" s="25">
        <f t="shared" si="1"/>
        <v>0</v>
      </c>
      <c r="L49" s="1">
        <f t="shared" si="1"/>
        <v>143155</v>
      </c>
      <c r="M49" s="1">
        <f t="shared" si="1"/>
        <v>26388.58</v>
      </c>
      <c r="N49" s="26">
        <f t="shared" si="1"/>
        <v>53259.47</v>
      </c>
      <c r="O49" s="25">
        <f t="shared" si="1"/>
        <v>140448</v>
      </c>
      <c r="P49" s="15">
        <f t="shared" si="1"/>
        <v>0</v>
      </c>
      <c r="Q49" s="26">
        <f t="shared" si="1"/>
        <v>0</v>
      </c>
      <c r="R49" s="25">
        <f t="shared" si="1"/>
        <v>667334</v>
      </c>
      <c r="S49" s="15"/>
      <c r="T49" s="15">
        <f>SUM(T35:T48)</f>
        <v>0</v>
      </c>
      <c r="U49" s="26">
        <f>SUM(U35:U48)</f>
        <v>0</v>
      </c>
    </row>
    <row r="50" spans="1:21" s="37" customFormat="1" ht="25.5" x14ac:dyDescent="0.2">
      <c r="A50" s="40" t="s">
        <v>69</v>
      </c>
      <c r="B50" s="43"/>
      <c r="C50" s="43"/>
      <c r="D50" s="43">
        <v>12148.69</v>
      </c>
      <c r="E50" s="43"/>
      <c r="F50" s="43"/>
      <c r="G50" s="44"/>
      <c r="H50" s="45"/>
      <c r="I50" s="58">
        <f>10049+2355.75</f>
        <v>12404.75</v>
      </c>
      <c r="J50" s="46"/>
      <c r="K50" s="43"/>
      <c r="L50" s="45"/>
      <c r="M50" s="45"/>
      <c r="N50" s="46">
        <v>24553.439999999999</v>
      </c>
      <c r="O50" s="43"/>
      <c r="P50" s="55"/>
      <c r="Q50" s="46"/>
      <c r="R50" s="43"/>
      <c r="S50" s="55"/>
      <c r="T50" s="55"/>
      <c r="U50" s="46"/>
    </row>
    <row r="51" spans="1:21" s="37" customFormat="1" x14ac:dyDescent="0.2">
      <c r="A51" s="40" t="s">
        <v>70</v>
      </c>
      <c r="B51" s="43"/>
      <c r="C51" s="43"/>
      <c r="D51" s="43">
        <v>5289.39</v>
      </c>
      <c r="E51" s="43"/>
      <c r="F51" s="43"/>
      <c r="G51" s="44"/>
      <c r="H51" s="45"/>
      <c r="I51" s="58">
        <f>6604+1011.92</f>
        <v>7615.92</v>
      </c>
      <c r="J51" s="46"/>
      <c r="K51" s="43"/>
      <c r="L51" s="45"/>
      <c r="M51" s="45"/>
      <c r="N51" s="46">
        <v>12905.31</v>
      </c>
      <c r="O51" s="43"/>
      <c r="P51" s="55"/>
      <c r="Q51" s="46"/>
      <c r="R51" s="43"/>
      <c r="S51" s="55"/>
      <c r="T51" s="55"/>
      <c r="U51" s="46"/>
    </row>
    <row r="52" spans="1:21" s="37" customFormat="1" ht="25.5" x14ac:dyDescent="0.2">
      <c r="A52" s="40" t="s">
        <v>71</v>
      </c>
      <c r="B52" s="43"/>
      <c r="C52" s="43"/>
      <c r="D52" s="43">
        <v>9693.66</v>
      </c>
      <c r="E52" s="43"/>
      <c r="F52" s="43"/>
      <c r="G52" s="44"/>
      <c r="H52" s="45"/>
      <c r="I52" s="58">
        <f>9172+2111.11</f>
        <v>11283.11</v>
      </c>
      <c r="J52" s="46"/>
      <c r="K52" s="43"/>
      <c r="L52" s="45"/>
      <c r="M52" s="45"/>
      <c r="N52" s="46">
        <v>20976.77</v>
      </c>
      <c r="O52" s="43"/>
      <c r="P52" s="55"/>
      <c r="Q52" s="46"/>
      <c r="R52" s="43"/>
      <c r="S52" s="55"/>
      <c r="T52" s="55"/>
      <c r="U52" s="46"/>
    </row>
    <row r="53" spans="1:21" s="37" customFormat="1" ht="25.5" x14ac:dyDescent="0.2">
      <c r="A53" s="40" t="s">
        <v>72</v>
      </c>
      <c r="B53" s="43"/>
      <c r="C53" s="43"/>
      <c r="D53" s="43"/>
      <c r="E53" s="43"/>
      <c r="F53" s="43"/>
      <c r="G53" s="44"/>
      <c r="H53" s="45"/>
      <c r="I53" s="58">
        <v>17386</v>
      </c>
      <c r="J53" s="46"/>
      <c r="K53" s="43"/>
      <c r="L53" s="45"/>
      <c r="M53" s="45">
        <v>14103</v>
      </c>
      <c r="N53" s="46"/>
      <c r="O53" s="43"/>
      <c r="P53" s="55"/>
      <c r="Q53" s="46">
        <v>31489</v>
      </c>
      <c r="R53" s="43"/>
      <c r="S53" s="55"/>
      <c r="T53" s="55"/>
      <c r="U53" s="46"/>
    </row>
    <row r="54" spans="1:21" s="37" customFormat="1" x14ac:dyDescent="0.2">
      <c r="A54" s="40" t="s">
        <v>73</v>
      </c>
      <c r="B54" s="43"/>
      <c r="C54" s="43"/>
      <c r="D54" s="43"/>
      <c r="E54" s="43"/>
      <c r="F54" s="43"/>
      <c r="G54" s="44"/>
      <c r="H54" s="45">
        <v>74216</v>
      </c>
      <c r="I54" s="58">
        <v>26568</v>
      </c>
      <c r="J54" s="46"/>
      <c r="K54" s="43"/>
      <c r="L54" s="89">
        <v>41359</v>
      </c>
      <c r="M54" s="95">
        <v>21641</v>
      </c>
      <c r="N54" s="46"/>
      <c r="O54" s="98">
        <v>61637</v>
      </c>
      <c r="P54" s="99">
        <v>0</v>
      </c>
      <c r="Q54" s="46">
        <v>48209</v>
      </c>
      <c r="R54" s="43"/>
      <c r="S54" s="55"/>
      <c r="T54" s="55"/>
      <c r="U54" s="46"/>
    </row>
    <row r="55" spans="1:21" s="37" customFormat="1" ht="25.5" x14ac:dyDescent="0.2">
      <c r="A55" s="40" t="s">
        <v>74</v>
      </c>
      <c r="B55" s="43"/>
      <c r="C55" s="43"/>
      <c r="D55" s="43"/>
      <c r="E55" s="43"/>
      <c r="F55" s="43"/>
      <c r="G55" s="44"/>
      <c r="H55" s="45">
        <v>35734</v>
      </c>
      <c r="I55" s="58">
        <v>4016</v>
      </c>
      <c r="J55" s="46"/>
      <c r="K55" s="43"/>
      <c r="L55" s="45">
        <v>25770</v>
      </c>
      <c r="M55" s="45"/>
      <c r="N55" s="97">
        <v>0</v>
      </c>
      <c r="O55" s="43"/>
      <c r="P55" s="55"/>
      <c r="Q55" s="97">
        <v>4016</v>
      </c>
      <c r="R55" s="43"/>
      <c r="S55" s="55"/>
      <c r="T55" s="55"/>
      <c r="U55" s="46"/>
    </row>
    <row r="56" spans="1:21" s="37" customFormat="1" ht="15" x14ac:dyDescent="0.25">
      <c r="A56" s="40" t="s">
        <v>75</v>
      </c>
      <c r="B56" s="43"/>
      <c r="C56" s="43"/>
      <c r="D56" s="43"/>
      <c r="E56" s="43"/>
      <c r="F56" s="43"/>
      <c r="G56" s="44"/>
      <c r="H56" s="45"/>
      <c r="I56" s="58">
        <v>13340</v>
      </c>
      <c r="J56" s="46"/>
      <c r="K56" s="43"/>
      <c r="L56" s="45"/>
      <c r="M56" s="103">
        <v>6767</v>
      </c>
      <c r="N56" s="46"/>
      <c r="O56" s="43"/>
      <c r="P56" s="55"/>
      <c r="Q56" s="46">
        <v>20107</v>
      </c>
      <c r="R56" s="43"/>
      <c r="S56" s="55"/>
      <c r="T56" s="55"/>
      <c r="U56" s="46"/>
    </row>
    <row r="57" spans="1:21" s="37" customFormat="1" x14ac:dyDescent="0.2">
      <c r="A57" s="40" t="s">
        <v>76</v>
      </c>
      <c r="B57" s="43"/>
      <c r="C57" s="43"/>
      <c r="D57" s="43"/>
      <c r="E57" s="43"/>
      <c r="F57" s="43"/>
      <c r="G57" s="44"/>
      <c r="H57" s="45"/>
      <c r="I57" s="58"/>
      <c r="J57" s="46"/>
      <c r="K57" s="43"/>
      <c r="L57" s="45"/>
      <c r="M57" s="9">
        <v>1750</v>
      </c>
      <c r="N57" s="46"/>
      <c r="O57" s="43"/>
      <c r="P57" s="55">
        <v>1750</v>
      </c>
      <c r="Q57" s="46">
        <v>3500</v>
      </c>
      <c r="R57" s="43"/>
      <c r="S57" s="55"/>
      <c r="T57" s="55"/>
      <c r="U57" s="46"/>
    </row>
    <row r="58" spans="1:21" ht="25.5" x14ac:dyDescent="0.2">
      <c r="A58" s="87" t="s">
        <v>23</v>
      </c>
      <c r="B58" s="23"/>
      <c r="C58" s="23"/>
      <c r="D58" s="23"/>
      <c r="E58" s="23"/>
      <c r="F58" s="23">
        <v>38.97</v>
      </c>
      <c r="G58" s="6"/>
      <c r="H58" s="91">
        <v>28230</v>
      </c>
      <c r="I58" s="92">
        <v>52500</v>
      </c>
      <c r="J58" s="93">
        <v>0</v>
      </c>
      <c r="K58" s="47"/>
      <c r="L58" s="91">
        <v>187500</v>
      </c>
      <c r="M58" s="94">
        <v>12500</v>
      </c>
      <c r="N58" s="93">
        <v>65000</v>
      </c>
      <c r="O58" s="106">
        <v>90531</v>
      </c>
      <c r="P58" s="56"/>
      <c r="Q58" s="24"/>
      <c r="R58" s="23"/>
      <c r="S58" s="56"/>
      <c r="T58" s="56"/>
      <c r="U58" s="24"/>
    </row>
    <row r="59" spans="1:21" x14ac:dyDescent="0.2">
      <c r="A59" s="18" t="s">
        <v>151</v>
      </c>
      <c r="B59" s="23"/>
      <c r="C59" s="23"/>
      <c r="D59" s="23"/>
      <c r="E59" s="23"/>
      <c r="F59" s="23"/>
      <c r="G59" s="6"/>
      <c r="H59" s="6">
        <v>10000</v>
      </c>
      <c r="I59" s="59"/>
      <c r="J59" s="24"/>
      <c r="K59" s="47"/>
      <c r="L59" s="6"/>
      <c r="M59" s="62"/>
      <c r="N59" s="24"/>
      <c r="O59" s="23"/>
      <c r="P59" s="56"/>
      <c r="Q59" s="24"/>
      <c r="R59" s="23"/>
      <c r="S59" s="56"/>
      <c r="T59" s="56"/>
      <c r="U59" s="24"/>
    </row>
    <row r="60" spans="1:21" x14ac:dyDescent="0.2">
      <c r="A60" s="18" t="s">
        <v>24</v>
      </c>
      <c r="B60" s="23"/>
      <c r="C60" s="23"/>
      <c r="D60" s="23"/>
      <c r="E60" s="23"/>
      <c r="F60" s="23"/>
      <c r="G60" s="6"/>
      <c r="H60" s="6">
        <v>30452</v>
      </c>
      <c r="I60" s="59"/>
      <c r="J60" s="24"/>
      <c r="K60" s="47"/>
      <c r="L60" s="6">
        <v>62206</v>
      </c>
      <c r="M60" s="58">
        <v>37794</v>
      </c>
      <c r="N60" s="46">
        <v>37794</v>
      </c>
      <c r="O60" s="23">
        <v>25698</v>
      </c>
      <c r="P60" s="56"/>
      <c r="Q60" s="24"/>
      <c r="R60" s="23"/>
      <c r="S60" s="56"/>
      <c r="T60" s="56"/>
      <c r="U60" s="24"/>
    </row>
    <row r="61" spans="1:21" ht="25.5" x14ac:dyDescent="0.2">
      <c r="A61" s="18" t="s">
        <v>160</v>
      </c>
      <c r="B61" s="23"/>
      <c r="C61" s="23"/>
      <c r="D61" s="23"/>
      <c r="E61" s="23"/>
      <c r="F61" s="23"/>
      <c r="G61" s="6"/>
      <c r="H61" s="6">
        <v>7800</v>
      </c>
      <c r="I61" s="59"/>
      <c r="J61" s="24"/>
      <c r="K61" s="47"/>
      <c r="L61" s="6">
        <v>5700</v>
      </c>
      <c r="M61" s="7"/>
      <c r="N61" s="24"/>
      <c r="O61" s="23"/>
      <c r="P61" s="56"/>
      <c r="Q61" s="24"/>
      <c r="R61" s="23"/>
      <c r="S61" s="56"/>
      <c r="T61" s="56"/>
      <c r="U61" s="24"/>
    </row>
    <row r="62" spans="1:21" s="8" customFormat="1" x14ac:dyDescent="0.2">
      <c r="A62" s="17" t="s">
        <v>30</v>
      </c>
      <c r="B62" s="25">
        <f t="shared" ref="B62:U62" si="2">SUM(B50:B61)</f>
        <v>0</v>
      </c>
      <c r="C62" s="25">
        <f t="shared" si="2"/>
        <v>0</v>
      </c>
      <c r="D62" s="25">
        <f t="shared" si="2"/>
        <v>27131.74</v>
      </c>
      <c r="E62" s="25">
        <f t="shared" si="2"/>
        <v>0</v>
      </c>
      <c r="F62" s="25">
        <f t="shared" si="2"/>
        <v>38.97</v>
      </c>
      <c r="G62" s="25">
        <f t="shared" si="2"/>
        <v>0</v>
      </c>
      <c r="H62" s="25">
        <f t="shared" si="2"/>
        <v>186432</v>
      </c>
      <c r="I62" s="25">
        <f t="shared" si="2"/>
        <v>145113.78</v>
      </c>
      <c r="J62" s="25">
        <f t="shared" si="2"/>
        <v>0</v>
      </c>
      <c r="K62" s="25">
        <f t="shared" si="2"/>
        <v>0</v>
      </c>
      <c r="L62" s="25">
        <f t="shared" si="2"/>
        <v>322535</v>
      </c>
      <c r="M62" s="25">
        <f t="shared" si="2"/>
        <v>94555</v>
      </c>
      <c r="N62" s="25">
        <f t="shared" si="2"/>
        <v>161229.52000000002</v>
      </c>
      <c r="O62" s="25">
        <f t="shared" si="2"/>
        <v>177866</v>
      </c>
      <c r="P62" s="25">
        <f t="shared" si="2"/>
        <v>1750</v>
      </c>
      <c r="Q62" s="25">
        <f t="shared" si="2"/>
        <v>107321</v>
      </c>
      <c r="R62" s="25">
        <f t="shared" si="2"/>
        <v>0</v>
      </c>
      <c r="S62" s="25">
        <f t="shared" si="2"/>
        <v>0</v>
      </c>
      <c r="T62" s="25">
        <f t="shared" si="2"/>
        <v>0</v>
      </c>
      <c r="U62" s="25">
        <f t="shared" si="2"/>
        <v>0</v>
      </c>
    </row>
    <row r="63" spans="1:21" s="37" customFormat="1" x14ac:dyDescent="0.2">
      <c r="A63" s="38" t="s">
        <v>102</v>
      </c>
      <c r="B63" s="43"/>
      <c r="C63" s="43"/>
      <c r="D63" s="43"/>
      <c r="E63" s="43"/>
      <c r="F63" s="43"/>
      <c r="G63" s="44"/>
      <c r="H63" s="45"/>
      <c r="I63" s="58"/>
      <c r="J63" s="46"/>
      <c r="K63" s="43"/>
      <c r="L63" s="45"/>
      <c r="M63" s="58">
        <v>6000</v>
      </c>
      <c r="N63" s="46"/>
      <c r="O63" s="43"/>
      <c r="P63" s="55">
        <v>14200</v>
      </c>
      <c r="Q63" s="46">
        <v>20200</v>
      </c>
      <c r="R63" s="43"/>
      <c r="S63" s="55"/>
      <c r="T63" s="55"/>
      <c r="U63" s="46"/>
    </row>
    <row r="64" spans="1:21" s="37" customFormat="1" x14ac:dyDescent="0.2">
      <c r="A64" s="38" t="s">
        <v>103</v>
      </c>
      <c r="B64" s="43"/>
      <c r="C64" s="43"/>
      <c r="D64" s="43">
        <v>1730.77</v>
      </c>
      <c r="E64" s="43"/>
      <c r="F64" s="43"/>
      <c r="G64" s="44"/>
      <c r="H64" s="45"/>
      <c r="I64" s="58">
        <f>4250+509.3</f>
        <v>4759.3</v>
      </c>
      <c r="J64" s="46">
        <v>6490</v>
      </c>
      <c r="K64" s="43"/>
      <c r="L64" s="45"/>
      <c r="M64" s="58"/>
      <c r="N64" s="46"/>
      <c r="O64" s="43"/>
      <c r="P64" s="55"/>
      <c r="Q64" s="46"/>
      <c r="R64" s="43"/>
      <c r="S64" s="55"/>
      <c r="T64" s="55"/>
      <c r="U64" s="46"/>
    </row>
    <row r="65" spans="1:21" s="37" customFormat="1" x14ac:dyDescent="0.2">
      <c r="A65" s="38" t="s">
        <v>104</v>
      </c>
      <c r="B65" s="43"/>
      <c r="C65" s="43"/>
      <c r="D65" s="43">
        <v>2331.21</v>
      </c>
      <c r="E65" s="43"/>
      <c r="F65" s="43"/>
      <c r="G65" s="44"/>
      <c r="H65" s="45"/>
      <c r="I65" s="58">
        <f>15750+9418.78</f>
        <v>25168.78</v>
      </c>
      <c r="J65" s="46">
        <v>27500</v>
      </c>
      <c r="K65" s="43"/>
      <c r="L65" s="45"/>
      <c r="M65" s="58"/>
      <c r="N65" s="46"/>
      <c r="O65" s="43"/>
      <c r="P65" s="55"/>
      <c r="Q65" s="46"/>
      <c r="R65" s="43"/>
      <c r="S65" s="55"/>
      <c r="T65" s="55"/>
      <c r="U65" s="46"/>
    </row>
    <row r="66" spans="1:21" s="37" customFormat="1" x14ac:dyDescent="0.2">
      <c r="A66" s="38" t="s">
        <v>105</v>
      </c>
      <c r="B66" s="43"/>
      <c r="C66" s="43"/>
      <c r="D66" s="43">
        <v>3264.72</v>
      </c>
      <c r="E66" s="43"/>
      <c r="F66" s="43"/>
      <c r="G66" s="44"/>
      <c r="H66" s="45"/>
      <c r="I66" s="58">
        <f>2169+2175.17</f>
        <v>4344.17</v>
      </c>
      <c r="J66" s="46">
        <v>7500</v>
      </c>
      <c r="K66" s="43"/>
      <c r="L66" s="45"/>
      <c r="M66" s="58"/>
      <c r="N66" s="46"/>
      <c r="O66" s="43"/>
      <c r="P66" s="55"/>
      <c r="Q66" s="46"/>
      <c r="R66" s="43"/>
      <c r="S66" s="55"/>
      <c r="T66" s="55"/>
      <c r="U66" s="46"/>
    </row>
    <row r="67" spans="1:21" s="37" customFormat="1" ht="25.5" x14ac:dyDescent="0.2">
      <c r="A67" s="38" t="s">
        <v>106</v>
      </c>
      <c r="B67" s="43"/>
      <c r="C67" s="43"/>
      <c r="D67" s="43">
        <v>1152.77</v>
      </c>
      <c r="E67" s="43"/>
      <c r="F67" s="43"/>
      <c r="G67" s="44"/>
      <c r="H67" s="45"/>
      <c r="I67" s="58">
        <v>6347.22</v>
      </c>
      <c r="J67" s="46">
        <v>7500</v>
      </c>
      <c r="K67" s="43"/>
      <c r="L67" s="45"/>
      <c r="M67" s="58"/>
      <c r="N67" s="46"/>
      <c r="O67" s="43"/>
      <c r="P67" s="55"/>
      <c r="Q67" s="46"/>
      <c r="R67" s="43"/>
      <c r="S67" s="55"/>
      <c r="T67" s="55"/>
      <c r="U67" s="46"/>
    </row>
    <row r="68" spans="1:21" s="37" customFormat="1" x14ac:dyDescent="0.2">
      <c r="A68" s="38" t="s">
        <v>107</v>
      </c>
      <c r="B68" s="43"/>
      <c r="C68" s="43"/>
      <c r="D68" s="43"/>
      <c r="E68" s="43"/>
      <c r="F68" s="43"/>
      <c r="G68" s="44"/>
      <c r="H68" s="45">
        <v>0</v>
      </c>
      <c r="I68" s="96">
        <v>0</v>
      </c>
      <c r="J68" s="46"/>
      <c r="K68" s="43"/>
      <c r="L68" s="45"/>
      <c r="M68" s="96">
        <v>2500</v>
      </c>
      <c r="N68" s="46"/>
      <c r="O68" s="43"/>
      <c r="P68" s="99">
        <v>15930</v>
      </c>
      <c r="Q68" s="46">
        <v>18430</v>
      </c>
      <c r="R68" s="43"/>
      <c r="S68" s="55"/>
      <c r="T68" s="55"/>
      <c r="U68" s="46"/>
    </row>
    <row r="69" spans="1:21" s="37" customFormat="1" x14ac:dyDescent="0.2">
      <c r="A69" s="38" t="s">
        <v>108</v>
      </c>
      <c r="B69" s="43"/>
      <c r="C69" s="43"/>
      <c r="D69" s="43"/>
      <c r="E69" s="43"/>
      <c r="F69" s="43"/>
      <c r="G69" s="44"/>
      <c r="H69" s="45">
        <v>0</v>
      </c>
      <c r="I69" s="58">
        <v>0</v>
      </c>
      <c r="J69" s="46"/>
      <c r="K69" s="43"/>
      <c r="L69" s="45"/>
      <c r="M69" s="58">
        <v>4200</v>
      </c>
      <c r="N69" s="46"/>
      <c r="O69" s="43"/>
      <c r="P69" s="55">
        <v>12400</v>
      </c>
      <c r="Q69" s="46">
        <v>16600</v>
      </c>
      <c r="R69" s="43"/>
      <c r="S69" s="55"/>
      <c r="T69" s="55"/>
      <c r="U69" s="46"/>
    </row>
    <row r="70" spans="1:21" s="37" customFormat="1" ht="25.5" x14ac:dyDescent="0.2">
      <c r="A70" s="39" t="s">
        <v>77</v>
      </c>
      <c r="B70" s="43"/>
      <c r="C70" s="43"/>
      <c r="D70" s="43"/>
      <c r="E70" s="43">
        <v>15545.26</v>
      </c>
      <c r="F70" s="43"/>
      <c r="G70" s="44"/>
      <c r="H70" s="45"/>
      <c r="I70" s="58"/>
      <c r="J70" s="46"/>
      <c r="K70" s="43"/>
      <c r="L70" s="45"/>
      <c r="M70" s="58"/>
      <c r="N70" s="46"/>
      <c r="O70" s="43"/>
      <c r="P70" s="55"/>
      <c r="Q70" s="46"/>
      <c r="R70" s="43"/>
      <c r="S70" s="55"/>
      <c r="T70" s="55"/>
      <c r="U70" s="46"/>
    </row>
    <row r="71" spans="1:21" s="37" customFormat="1" ht="25.5" x14ac:dyDescent="0.2">
      <c r="A71" s="39" t="s">
        <v>79</v>
      </c>
      <c r="B71" s="43"/>
      <c r="C71" s="43"/>
      <c r="D71" s="43">
        <v>1156.56</v>
      </c>
      <c r="E71" s="43">
        <v>11447.35</v>
      </c>
      <c r="F71" s="43"/>
      <c r="G71" s="44"/>
      <c r="H71" s="45"/>
      <c r="I71" s="58"/>
      <c r="J71" s="46"/>
      <c r="K71" s="43"/>
      <c r="L71" s="45"/>
      <c r="M71" s="58"/>
      <c r="N71" s="46"/>
      <c r="O71" s="43"/>
      <c r="P71" s="55"/>
      <c r="Q71" s="46"/>
      <c r="R71" s="43"/>
      <c r="S71" s="55"/>
      <c r="T71" s="55"/>
      <c r="U71" s="46"/>
    </row>
    <row r="72" spans="1:21" s="37" customFormat="1" x14ac:dyDescent="0.2">
      <c r="A72" s="39" t="s">
        <v>78</v>
      </c>
      <c r="B72" s="43"/>
      <c r="C72" s="43"/>
      <c r="D72" s="43"/>
      <c r="E72" s="43"/>
      <c r="F72" s="43"/>
      <c r="G72" s="44"/>
      <c r="H72" s="45"/>
      <c r="I72" s="58"/>
      <c r="J72" s="46"/>
      <c r="K72" s="43"/>
      <c r="L72" s="45"/>
      <c r="M72" s="58"/>
      <c r="N72" s="46"/>
      <c r="O72" s="43"/>
      <c r="P72" s="55"/>
      <c r="Q72" s="46"/>
      <c r="R72" s="43"/>
      <c r="S72" s="55"/>
      <c r="T72" s="55"/>
      <c r="U72" s="46"/>
    </row>
    <row r="73" spans="1:21" s="37" customFormat="1" x14ac:dyDescent="0.2">
      <c r="A73" s="39" t="s">
        <v>80</v>
      </c>
      <c r="B73" s="43"/>
      <c r="C73" s="43"/>
      <c r="D73" s="43">
        <v>2148.46</v>
      </c>
      <c r="E73" s="43"/>
      <c r="F73" s="43"/>
      <c r="G73" s="44"/>
      <c r="H73" s="45"/>
      <c r="I73" s="58">
        <f>5292+3701.2</f>
        <v>8993.2000000000007</v>
      </c>
      <c r="J73" s="46">
        <v>11142</v>
      </c>
      <c r="K73" s="43"/>
      <c r="L73" s="45"/>
      <c r="M73" s="58"/>
      <c r="N73" s="46"/>
      <c r="O73" s="43"/>
      <c r="P73" s="55"/>
      <c r="Q73" s="46"/>
      <c r="R73" s="43"/>
      <c r="S73" s="55"/>
      <c r="T73" s="55"/>
      <c r="U73" s="46"/>
    </row>
    <row r="74" spans="1:21" s="37" customFormat="1" ht="25.5" x14ac:dyDescent="0.2">
      <c r="A74" s="39" t="s">
        <v>81</v>
      </c>
      <c r="B74" s="43"/>
      <c r="C74" s="43"/>
      <c r="D74" s="43"/>
      <c r="E74" s="43"/>
      <c r="F74" s="43"/>
      <c r="G74" s="44"/>
      <c r="H74" s="45"/>
      <c r="I74" s="58"/>
      <c r="J74" s="46"/>
      <c r="K74" s="43"/>
      <c r="L74" s="45"/>
      <c r="M74" s="58">
        <v>3473</v>
      </c>
      <c r="N74" s="46"/>
      <c r="O74" s="43"/>
      <c r="P74" s="55"/>
      <c r="Q74" s="46">
        <v>3473</v>
      </c>
      <c r="R74" s="43"/>
      <c r="S74" s="55"/>
      <c r="T74" s="55"/>
      <c r="U74" s="46"/>
    </row>
    <row r="75" spans="1:21" s="37" customFormat="1" x14ac:dyDescent="0.2">
      <c r="A75" s="39" t="s">
        <v>82</v>
      </c>
      <c r="B75" s="43"/>
      <c r="C75" s="43"/>
      <c r="D75" s="43"/>
      <c r="E75" s="43"/>
      <c r="F75" s="43"/>
      <c r="G75" s="44"/>
      <c r="H75" s="45"/>
      <c r="I75" s="58"/>
      <c r="J75" s="46"/>
      <c r="K75" s="43"/>
      <c r="L75" s="45"/>
      <c r="M75" s="58">
        <v>4096</v>
      </c>
      <c r="N75" s="46"/>
      <c r="O75" s="43"/>
      <c r="P75" s="55"/>
      <c r="Q75" s="46">
        <v>4096</v>
      </c>
      <c r="R75" s="43"/>
      <c r="S75" s="55"/>
      <c r="T75" s="55"/>
      <c r="U75" s="46"/>
    </row>
    <row r="76" spans="1:21" s="37" customFormat="1" x14ac:dyDescent="0.2">
      <c r="A76" s="39" t="s">
        <v>83</v>
      </c>
      <c r="B76" s="43"/>
      <c r="C76" s="43"/>
      <c r="D76" s="43"/>
      <c r="E76" s="43"/>
      <c r="F76" s="43"/>
      <c r="G76" s="44"/>
      <c r="H76" s="45"/>
      <c r="I76" s="58"/>
      <c r="J76" s="46"/>
      <c r="K76" s="43"/>
      <c r="L76" s="45"/>
      <c r="M76" s="58">
        <v>3819</v>
      </c>
      <c r="N76" s="46"/>
      <c r="O76" s="43"/>
      <c r="P76" s="55"/>
      <c r="Q76" s="46">
        <v>3819</v>
      </c>
      <c r="R76" s="43"/>
      <c r="S76" s="55"/>
      <c r="T76" s="55"/>
      <c r="U76" s="46"/>
    </row>
    <row r="77" spans="1:21" s="37" customFormat="1" x14ac:dyDescent="0.2">
      <c r="A77" s="39" t="s">
        <v>84</v>
      </c>
      <c r="B77" s="43"/>
      <c r="C77" s="43"/>
      <c r="D77" s="43"/>
      <c r="E77" s="43"/>
      <c r="F77" s="43"/>
      <c r="G77" s="44"/>
      <c r="H77" s="45"/>
      <c r="I77" s="58"/>
      <c r="J77" s="46"/>
      <c r="K77" s="43"/>
      <c r="L77" s="45"/>
      <c r="M77" s="58">
        <v>7264</v>
      </c>
      <c r="N77" s="46"/>
      <c r="O77" s="43"/>
      <c r="P77" s="55"/>
      <c r="Q77" s="46">
        <v>7264</v>
      </c>
      <c r="R77" s="43"/>
      <c r="S77" s="55"/>
      <c r="T77" s="55"/>
      <c r="U77" s="46"/>
    </row>
    <row r="78" spans="1:21" s="37" customFormat="1" x14ac:dyDescent="0.2">
      <c r="A78" s="39" t="s">
        <v>85</v>
      </c>
      <c r="B78" s="43"/>
      <c r="C78" s="43"/>
      <c r="D78" s="43"/>
      <c r="E78" s="43"/>
      <c r="F78" s="43"/>
      <c r="G78" s="44"/>
      <c r="H78" s="45"/>
      <c r="I78" s="58"/>
      <c r="J78" s="46"/>
      <c r="K78" s="43"/>
      <c r="L78" s="45"/>
      <c r="M78" s="58">
        <v>12270</v>
      </c>
      <c r="N78" s="46"/>
      <c r="O78" s="43"/>
      <c r="P78" s="55"/>
      <c r="Q78" s="46">
        <v>12270</v>
      </c>
      <c r="R78" s="43"/>
      <c r="S78" s="55"/>
      <c r="T78" s="55"/>
      <c r="U78" s="46"/>
    </row>
    <row r="79" spans="1:21" s="37" customFormat="1" x14ac:dyDescent="0.2">
      <c r="A79" s="39" t="s">
        <v>86</v>
      </c>
      <c r="B79" s="43"/>
      <c r="C79" s="43"/>
      <c r="D79" s="43"/>
      <c r="E79" s="43"/>
      <c r="F79" s="43"/>
      <c r="G79" s="44"/>
      <c r="H79" s="45"/>
      <c r="I79" s="58"/>
      <c r="J79" s="46"/>
      <c r="K79" s="43"/>
      <c r="L79" s="45"/>
      <c r="M79" s="58">
        <v>1561</v>
      </c>
      <c r="N79" s="46"/>
      <c r="O79" s="43"/>
      <c r="P79" s="55"/>
      <c r="Q79" s="46">
        <v>1561</v>
      </c>
      <c r="R79" s="43"/>
      <c r="S79" s="55"/>
      <c r="T79" s="55"/>
      <c r="U79" s="46"/>
    </row>
    <row r="80" spans="1:21" s="37" customFormat="1" x14ac:dyDescent="0.2">
      <c r="A80" s="39" t="s">
        <v>87</v>
      </c>
      <c r="B80" s="43"/>
      <c r="C80" s="43"/>
      <c r="D80" s="43"/>
      <c r="E80" s="43"/>
      <c r="F80" s="43"/>
      <c r="G80" s="44"/>
      <c r="H80" s="45"/>
      <c r="I80" s="58"/>
      <c r="J80" s="46"/>
      <c r="K80" s="43"/>
      <c r="L80" s="45"/>
      <c r="M80" s="58">
        <v>7683</v>
      </c>
      <c r="N80" s="46"/>
      <c r="O80" s="43"/>
      <c r="P80" s="55"/>
      <c r="Q80" s="46">
        <v>7683</v>
      </c>
      <c r="R80" s="43"/>
      <c r="S80" s="55"/>
      <c r="T80" s="55"/>
      <c r="U80" s="46"/>
    </row>
    <row r="81" spans="1:21" s="37" customFormat="1" x14ac:dyDescent="0.2">
      <c r="A81" s="39" t="s">
        <v>88</v>
      </c>
      <c r="B81" s="43"/>
      <c r="C81" s="43"/>
      <c r="D81" s="43"/>
      <c r="E81" s="43"/>
      <c r="F81" s="43"/>
      <c r="G81" s="44"/>
      <c r="H81" s="45"/>
      <c r="I81" s="58"/>
      <c r="J81" s="46"/>
      <c r="K81" s="43"/>
      <c r="L81" s="45"/>
      <c r="M81" s="58">
        <v>10928</v>
      </c>
      <c r="N81" s="46"/>
      <c r="O81" s="43"/>
      <c r="P81" s="55"/>
      <c r="Q81" s="46">
        <v>10928</v>
      </c>
      <c r="R81" s="43"/>
      <c r="S81" s="55"/>
      <c r="T81" s="55"/>
      <c r="U81" s="46"/>
    </row>
    <row r="82" spans="1:21" s="37" customFormat="1" x14ac:dyDescent="0.2">
      <c r="A82" s="39" t="s">
        <v>89</v>
      </c>
      <c r="B82" s="43"/>
      <c r="C82" s="43"/>
      <c r="D82" s="43"/>
      <c r="E82" s="43"/>
      <c r="F82" s="43"/>
      <c r="G82" s="44"/>
      <c r="H82" s="45"/>
      <c r="I82" s="58"/>
      <c r="J82" s="46"/>
      <c r="K82" s="43"/>
      <c r="L82" s="45"/>
      <c r="M82" s="58">
        <v>3356</v>
      </c>
      <c r="N82" s="46"/>
      <c r="O82" s="43"/>
      <c r="P82" s="55"/>
      <c r="Q82" s="46">
        <v>3356</v>
      </c>
      <c r="R82" s="43"/>
      <c r="S82" s="55"/>
      <c r="T82" s="55"/>
      <c r="U82" s="46"/>
    </row>
    <row r="83" spans="1:21" s="37" customFormat="1" x14ac:dyDescent="0.2">
      <c r="A83" s="39" t="s">
        <v>90</v>
      </c>
      <c r="B83" s="43"/>
      <c r="C83" s="43"/>
      <c r="D83" s="43"/>
      <c r="E83" s="43"/>
      <c r="F83" s="43"/>
      <c r="G83" s="44"/>
      <c r="H83" s="45"/>
      <c r="I83" s="58"/>
      <c r="J83" s="46"/>
      <c r="K83" s="43"/>
      <c r="L83" s="45"/>
      <c r="M83" s="58">
        <v>2380</v>
      </c>
      <c r="N83" s="46"/>
      <c r="O83" s="43"/>
      <c r="P83" s="55"/>
      <c r="Q83" s="46">
        <v>2380</v>
      </c>
      <c r="R83" s="43"/>
      <c r="S83" s="55"/>
      <c r="T83" s="55"/>
      <c r="U83" s="46"/>
    </row>
    <row r="84" spans="1:21" s="37" customFormat="1" x14ac:dyDescent="0.2">
      <c r="A84" s="39" t="s">
        <v>155</v>
      </c>
      <c r="B84" s="43"/>
      <c r="C84" s="43"/>
      <c r="D84" s="43"/>
      <c r="E84" s="43"/>
      <c r="F84" s="43"/>
      <c r="G84" s="44"/>
      <c r="H84" s="45"/>
      <c r="I84" s="58"/>
      <c r="J84" s="46"/>
      <c r="K84" s="43"/>
      <c r="L84" s="43"/>
      <c r="M84" s="96">
        <v>7850</v>
      </c>
      <c r="N84" s="97">
        <v>7850</v>
      </c>
      <c r="O84" s="43"/>
      <c r="P84" s="55"/>
      <c r="Q84" s="46"/>
      <c r="R84" s="43"/>
      <c r="S84" s="55"/>
      <c r="T84" s="55"/>
      <c r="U84" s="46"/>
    </row>
    <row r="85" spans="1:21" s="37" customFormat="1" x14ac:dyDescent="0.2">
      <c r="A85" s="39" t="s">
        <v>156</v>
      </c>
      <c r="B85" s="43"/>
      <c r="C85" s="43"/>
      <c r="D85" s="43"/>
      <c r="E85" s="43"/>
      <c r="F85" s="43"/>
      <c r="G85" s="44"/>
      <c r="H85" s="45"/>
      <c r="I85" s="58"/>
      <c r="J85" s="46"/>
      <c r="K85" s="43"/>
      <c r="L85" s="43"/>
      <c r="M85" s="96">
        <v>0</v>
      </c>
      <c r="N85" s="97">
        <v>0</v>
      </c>
      <c r="O85" s="43"/>
      <c r="P85" s="99">
        <v>3800</v>
      </c>
      <c r="Q85" s="97">
        <v>3800</v>
      </c>
      <c r="R85" s="43"/>
      <c r="S85" s="55"/>
      <c r="T85" s="55"/>
      <c r="U85" s="46"/>
    </row>
    <row r="86" spans="1:21" s="37" customFormat="1" ht="25.5" x14ac:dyDescent="0.2">
      <c r="A86" s="39" t="s">
        <v>157</v>
      </c>
      <c r="B86" s="43"/>
      <c r="C86" s="43"/>
      <c r="D86" s="43"/>
      <c r="E86" s="43"/>
      <c r="F86" s="43"/>
      <c r="G86" s="44"/>
      <c r="H86" s="45"/>
      <c r="I86" s="58"/>
      <c r="J86" s="46"/>
      <c r="K86" s="43"/>
      <c r="L86" s="43"/>
      <c r="M86" s="96">
        <v>9600</v>
      </c>
      <c r="N86" s="97">
        <v>9600</v>
      </c>
      <c r="O86" s="43"/>
      <c r="P86" s="55"/>
      <c r="Q86" s="46"/>
      <c r="R86" s="43"/>
      <c r="S86" s="55"/>
      <c r="T86" s="55"/>
      <c r="U86" s="46"/>
    </row>
    <row r="87" spans="1:21" s="37" customFormat="1" x14ac:dyDescent="0.2">
      <c r="A87" s="39" t="s">
        <v>158</v>
      </c>
      <c r="B87" s="43"/>
      <c r="C87" s="43"/>
      <c r="D87" s="43"/>
      <c r="E87" s="43"/>
      <c r="F87" s="43"/>
      <c r="G87" s="44"/>
      <c r="H87" s="45"/>
      <c r="I87" s="58"/>
      <c r="J87" s="46"/>
      <c r="K87" s="43"/>
      <c r="L87" s="43"/>
      <c r="M87" s="96">
        <v>11700</v>
      </c>
      <c r="N87" s="97">
        <v>11700</v>
      </c>
      <c r="O87" s="43"/>
      <c r="P87" s="55"/>
      <c r="Q87" s="46"/>
      <c r="R87" s="43"/>
      <c r="S87" s="55"/>
      <c r="T87" s="55"/>
      <c r="U87" s="46"/>
    </row>
    <row r="88" spans="1:21" s="37" customFormat="1" ht="25.5" x14ac:dyDescent="0.2">
      <c r="A88" s="39" t="s">
        <v>159</v>
      </c>
      <c r="B88" s="43"/>
      <c r="C88" s="43"/>
      <c r="D88" s="43"/>
      <c r="E88" s="43"/>
      <c r="F88" s="43"/>
      <c r="G88" s="44"/>
      <c r="H88" s="45"/>
      <c r="I88" s="58"/>
      <c r="J88" s="46"/>
      <c r="K88" s="43"/>
      <c r="L88" s="43"/>
      <c r="M88" s="96">
        <v>13800</v>
      </c>
      <c r="N88" s="97">
        <v>13800</v>
      </c>
      <c r="O88" s="43"/>
      <c r="P88" s="55"/>
      <c r="Q88" s="46"/>
      <c r="R88" s="43"/>
      <c r="S88" s="55"/>
      <c r="T88" s="55"/>
      <c r="U88" s="46"/>
    </row>
    <row r="89" spans="1:21" x14ac:dyDescent="0.2">
      <c r="A89" s="16" t="s">
        <v>7</v>
      </c>
      <c r="B89" s="23"/>
      <c r="C89" s="23"/>
      <c r="D89" s="23"/>
      <c r="E89" s="23"/>
      <c r="F89" s="23">
        <v>162175.28</v>
      </c>
      <c r="G89" s="6"/>
      <c r="H89" s="6">
        <v>22700</v>
      </c>
      <c r="I89" s="59"/>
      <c r="J89" s="24"/>
      <c r="K89" s="23"/>
      <c r="L89" s="6">
        <v>500</v>
      </c>
      <c r="M89" s="59"/>
      <c r="N89" s="24"/>
      <c r="O89" s="23"/>
      <c r="P89" s="56"/>
      <c r="Q89" s="24"/>
      <c r="R89" s="23"/>
      <c r="S89" s="56"/>
      <c r="T89" s="56"/>
      <c r="U89" s="24"/>
    </row>
    <row r="90" spans="1:21" x14ac:dyDescent="0.2">
      <c r="A90" s="16" t="s">
        <v>8</v>
      </c>
      <c r="B90" s="23"/>
      <c r="C90" s="23"/>
      <c r="D90" s="23"/>
      <c r="E90" s="23"/>
      <c r="F90" s="23"/>
      <c r="G90" s="6"/>
      <c r="H90" s="104">
        <v>34598</v>
      </c>
      <c r="I90" s="59"/>
      <c r="J90" s="24"/>
      <c r="K90" s="47"/>
      <c r="L90" s="104">
        <v>16000</v>
      </c>
      <c r="M90" s="59"/>
      <c r="N90" s="24"/>
      <c r="O90" s="106">
        <v>0</v>
      </c>
      <c r="P90" s="56"/>
      <c r="Q90" s="24"/>
      <c r="R90" s="23"/>
      <c r="S90" s="56"/>
      <c r="T90" s="56"/>
      <c r="U90" s="24"/>
    </row>
    <row r="91" spans="1:21" x14ac:dyDescent="0.2">
      <c r="A91" s="16" t="s">
        <v>9</v>
      </c>
      <c r="B91" s="23"/>
      <c r="C91" s="23"/>
      <c r="D91" s="23"/>
      <c r="E91" s="23"/>
      <c r="F91" s="23"/>
      <c r="G91" s="6"/>
      <c r="H91" s="6">
        <v>5500</v>
      </c>
      <c r="I91" s="59"/>
      <c r="J91" s="24"/>
      <c r="K91" s="47"/>
      <c r="L91" s="6"/>
      <c r="M91" s="59"/>
      <c r="N91" s="24"/>
      <c r="O91" s="23"/>
      <c r="P91" s="56"/>
      <c r="Q91" s="24"/>
      <c r="R91" s="23"/>
      <c r="S91" s="56"/>
      <c r="T91" s="56"/>
      <c r="U91" s="24"/>
    </row>
    <row r="92" spans="1:21" x14ac:dyDescent="0.2">
      <c r="A92" s="16" t="s">
        <v>10</v>
      </c>
      <c r="B92" s="23"/>
      <c r="C92" s="23"/>
      <c r="D92" s="23"/>
      <c r="E92" s="23"/>
      <c r="F92" s="23"/>
      <c r="G92" s="6"/>
      <c r="H92" s="6">
        <v>30200</v>
      </c>
      <c r="I92" s="59"/>
      <c r="J92" s="24"/>
      <c r="K92" s="23"/>
      <c r="L92" s="6"/>
      <c r="M92" s="59"/>
      <c r="N92" s="24"/>
      <c r="O92" s="23"/>
      <c r="P92" s="56"/>
      <c r="Q92" s="24"/>
      <c r="R92" s="23"/>
      <c r="S92" s="56"/>
      <c r="T92" s="56"/>
      <c r="U92" s="24"/>
    </row>
    <row r="93" spans="1:21" x14ac:dyDescent="0.2">
      <c r="A93" s="16" t="s">
        <v>11</v>
      </c>
      <c r="B93" s="23"/>
      <c r="C93" s="23"/>
      <c r="D93" s="23"/>
      <c r="E93" s="23"/>
      <c r="F93" s="23"/>
      <c r="G93" s="6"/>
      <c r="H93" s="6">
        <v>15000</v>
      </c>
      <c r="I93" s="59"/>
      <c r="J93" s="24"/>
      <c r="K93" s="23"/>
      <c r="L93" s="6"/>
      <c r="M93" s="59"/>
      <c r="N93" s="24"/>
      <c r="O93" s="23"/>
      <c r="P93" s="56"/>
      <c r="Q93" s="24"/>
      <c r="R93" s="23"/>
      <c r="S93" s="56"/>
      <c r="T93" s="56"/>
      <c r="U93" s="24"/>
    </row>
    <row r="94" spans="1:21" x14ac:dyDescent="0.2">
      <c r="A94" s="16" t="s">
        <v>12</v>
      </c>
      <c r="B94" s="23"/>
      <c r="C94" s="23"/>
      <c r="D94" s="23"/>
      <c r="E94" s="23"/>
      <c r="F94" s="23"/>
      <c r="G94" s="6"/>
      <c r="H94" s="104">
        <v>0</v>
      </c>
      <c r="I94" s="59"/>
      <c r="J94" s="24"/>
      <c r="K94" s="23"/>
      <c r="L94" s="104">
        <v>52090</v>
      </c>
      <c r="M94" s="59"/>
      <c r="N94" s="24"/>
      <c r="O94" s="23"/>
      <c r="P94" s="56"/>
      <c r="Q94" s="24"/>
      <c r="R94" s="23"/>
      <c r="S94" s="56"/>
      <c r="T94" s="56"/>
      <c r="U94" s="24"/>
    </row>
    <row r="95" spans="1:21" x14ac:dyDescent="0.2">
      <c r="A95" s="16" t="s">
        <v>13</v>
      </c>
      <c r="B95" s="23"/>
      <c r="C95" s="23"/>
      <c r="D95" s="23"/>
      <c r="E95" s="23"/>
      <c r="F95" s="23"/>
      <c r="G95" s="6"/>
      <c r="H95" s="104">
        <v>40000</v>
      </c>
      <c r="I95" s="59"/>
      <c r="J95" s="24"/>
      <c r="K95" s="47"/>
      <c r="L95" s="104">
        <v>0</v>
      </c>
      <c r="M95" s="59"/>
      <c r="N95" s="24"/>
      <c r="O95" s="23"/>
      <c r="P95" s="56"/>
      <c r="Q95" s="24"/>
      <c r="R95" s="23"/>
      <c r="S95" s="56"/>
      <c r="T95" s="56"/>
      <c r="U95" s="24"/>
    </row>
    <row r="96" spans="1:21" x14ac:dyDescent="0.2">
      <c r="A96" s="19" t="s">
        <v>14</v>
      </c>
      <c r="B96" s="23"/>
      <c r="C96" s="23"/>
      <c r="D96" s="23"/>
      <c r="E96" s="23"/>
      <c r="F96" s="23"/>
      <c r="G96" s="6"/>
      <c r="H96" s="104">
        <v>5000</v>
      </c>
      <c r="I96" s="59"/>
      <c r="J96" s="24"/>
      <c r="K96" s="47"/>
      <c r="L96" s="104">
        <v>46139</v>
      </c>
      <c r="M96" s="59"/>
      <c r="N96" s="24"/>
      <c r="O96" s="23"/>
      <c r="P96" s="56"/>
      <c r="Q96" s="24"/>
      <c r="R96" s="23"/>
      <c r="S96" s="56"/>
      <c r="T96" s="56"/>
      <c r="U96" s="24"/>
    </row>
    <row r="97" spans="1:21" x14ac:dyDescent="0.2">
      <c r="A97" s="16" t="s">
        <v>15</v>
      </c>
      <c r="B97" s="23"/>
      <c r="C97" s="23"/>
      <c r="D97" s="23"/>
      <c r="E97" s="23"/>
      <c r="F97" s="23"/>
      <c r="G97" s="6"/>
      <c r="H97" s="104">
        <v>20571</v>
      </c>
      <c r="I97" s="59"/>
      <c r="J97" s="24"/>
      <c r="K97" s="47"/>
      <c r="L97" s="104">
        <v>113428</v>
      </c>
      <c r="M97" s="59"/>
      <c r="N97" s="24"/>
      <c r="O97" s="106">
        <v>42000</v>
      </c>
      <c r="P97" s="56"/>
      <c r="Q97" s="24"/>
      <c r="R97" s="23"/>
      <c r="S97" s="56"/>
      <c r="T97" s="56"/>
      <c r="U97" s="24"/>
    </row>
    <row r="98" spans="1:21" ht="25.5" x14ac:dyDescent="0.2">
      <c r="A98" s="16" t="s">
        <v>35</v>
      </c>
      <c r="B98" s="23"/>
      <c r="C98" s="23"/>
      <c r="D98" s="23"/>
      <c r="E98" s="23"/>
      <c r="F98" s="23"/>
      <c r="G98" s="6"/>
      <c r="H98" s="6">
        <v>6200</v>
      </c>
      <c r="I98" s="59"/>
      <c r="J98" s="24"/>
      <c r="K98" s="23"/>
      <c r="L98" s="6"/>
      <c r="M98" s="59"/>
      <c r="N98" s="24"/>
      <c r="O98" s="23"/>
      <c r="P98" s="56"/>
      <c r="Q98" s="24"/>
      <c r="R98" s="23"/>
      <c r="S98" s="56"/>
      <c r="T98" s="56"/>
      <c r="U98" s="24"/>
    </row>
    <row r="99" spans="1:21" x14ac:dyDescent="0.2">
      <c r="A99" s="16" t="s">
        <v>16</v>
      </c>
      <c r="B99" s="23"/>
      <c r="C99" s="23"/>
      <c r="D99" s="23"/>
      <c r="E99" s="23"/>
      <c r="F99" s="23"/>
      <c r="G99" s="6"/>
      <c r="H99" s="104">
        <v>0</v>
      </c>
      <c r="I99" s="59"/>
      <c r="J99" s="24"/>
      <c r="K99" s="47"/>
      <c r="L99" s="104">
        <v>5500</v>
      </c>
      <c r="M99" s="59"/>
      <c r="N99" s="24"/>
      <c r="O99" s="106">
        <v>25000</v>
      </c>
      <c r="P99" s="56"/>
      <c r="Q99" s="24"/>
      <c r="R99" s="23"/>
      <c r="S99" s="56"/>
      <c r="T99" s="56"/>
      <c r="U99" s="24"/>
    </row>
    <row r="100" spans="1:21" x14ac:dyDescent="0.2">
      <c r="A100" s="16" t="s">
        <v>17</v>
      </c>
      <c r="B100" s="23"/>
      <c r="C100" s="23"/>
      <c r="D100" s="23"/>
      <c r="E100" s="23"/>
      <c r="F100" s="23"/>
      <c r="G100" s="6"/>
      <c r="H100" s="6">
        <v>51000</v>
      </c>
      <c r="I100" s="59"/>
      <c r="J100" s="24"/>
      <c r="K100" s="23"/>
      <c r="L100" s="6"/>
      <c r="M100" s="59"/>
      <c r="N100" s="24"/>
      <c r="O100" s="23"/>
      <c r="P100" s="56"/>
      <c r="Q100" s="24"/>
      <c r="R100" s="23"/>
      <c r="S100" s="56"/>
      <c r="T100" s="56"/>
      <c r="U100" s="24"/>
    </row>
    <row r="101" spans="1:21" ht="38.25" x14ac:dyDescent="0.2">
      <c r="A101" s="16" t="s">
        <v>34</v>
      </c>
      <c r="B101" s="23"/>
      <c r="C101" s="23"/>
      <c r="D101" s="23"/>
      <c r="E101" s="23"/>
      <c r="F101" s="23"/>
      <c r="G101" s="6"/>
      <c r="H101" s="104">
        <v>10000</v>
      </c>
      <c r="I101" s="59"/>
      <c r="J101" s="24"/>
      <c r="K101" s="23"/>
      <c r="L101" s="104">
        <v>28000</v>
      </c>
      <c r="M101" s="59"/>
      <c r="N101" s="24"/>
      <c r="O101" s="23"/>
      <c r="P101" s="56"/>
      <c r="Q101" s="24"/>
      <c r="R101" s="23"/>
      <c r="S101" s="56"/>
      <c r="T101" s="56"/>
      <c r="U101" s="24"/>
    </row>
    <row r="102" spans="1:21" x14ac:dyDescent="0.2">
      <c r="A102" s="16" t="s">
        <v>18</v>
      </c>
      <c r="B102" s="23"/>
      <c r="C102" s="23"/>
      <c r="D102" s="23"/>
      <c r="E102" s="23"/>
      <c r="F102" s="23"/>
      <c r="G102" s="6"/>
      <c r="H102" s="104">
        <v>45000</v>
      </c>
      <c r="I102" s="59"/>
      <c r="J102" s="24"/>
      <c r="K102" s="47"/>
      <c r="L102" s="104">
        <v>0</v>
      </c>
      <c r="M102" s="59"/>
      <c r="N102" s="24"/>
      <c r="O102" s="23"/>
      <c r="P102" s="56"/>
      <c r="Q102" s="24"/>
      <c r="R102" s="23"/>
      <c r="S102" s="56"/>
      <c r="T102" s="56"/>
      <c r="U102" s="24"/>
    </row>
    <row r="103" spans="1:21" s="8" customFormat="1" x14ac:dyDescent="0.2">
      <c r="A103" s="17" t="s">
        <v>28</v>
      </c>
      <c r="B103" s="25">
        <f t="shared" ref="B103:R103" si="3">SUM(B63:B102)</f>
        <v>0</v>
      </c>
      <c r="C103" s="25">
        <f t="shared" si="3"/>
        <v>0</v>
      </c>
      <c r="D103" s="25">
        <f t="shared" si="3"/>
        <v>11784.489999999998</v>
      </c>
      <c r="E103" s="25">
        <f t="shared" si="3"/>
        <v>26992.61</v>
      </c>
      <c r="F103" s="25">
        <f t="shared" si="3"/>
        <v>162175.28</v>
      </c>
      <c r="G103" s="1">
        <f t="shared" si="3"/>
        <v>0</v>
      </c>
      <c r="H103" s="1">
        <f t="shared" si="3"/>
        <v>285769</v>
      </c>
      <c r="I103" s="60">
        <f t="shared" si="3"/>
        <v>49612.67</v>
      </c>
      <c r="J103" s="63">
        <f t="shared" si="3"/>
        <v>60132</v>
      </c>
      <c r="K103" s="25">
        <f t="shared" si="3"/>
        <v>0</v>
      </c>
      <c r="L103" s="1">
        <f>SUM(L63:L102)</f>
        <v>261657</v>
      </c>
      <c r="M103" s="1">
        <f t="shared" ref="M103:N103" si="4">SUM(M63:M102)</f>
        <v>112480</v>
      </c>
      <c r="N103" s="1">
        <f t="shared" si="4"/>
        <v>42950</v>
      </c>
      <c r="O103" s="25">
        <f t="shared" si="3"/>
        <v>67000</v>
      </c>
      <c r="P103" s="15">
        <f t="shared" si="3"/>
        <v>46330</v>
      </c>
      <c r="Q103" s="26">
        <f t="shared" si="3"/>
        <v>115860</v>
      </c>
      <c r="R103" s="25">
        <f t="shared" si="3"/>
        <v>0</v>
      </c>
      <c r="S103" s="15"/>
      <c r="T103" s="15">
        <f>SUM(T63:T102)</f>
        <v>0</v>
      </c>
      <c r="U103" s="26">
        <f>SUM(U63:U102)</f>
        <v>0</v>
      </c>
    </row>
    <row r="104" spans="1:21" s="37" customFormat="1" x14ac:dyDescent="0.2">
      <c r="A104" s="40" t="s">
        <v>91</v>
      </c>
      <c r="B104" s="43"/>
      <c r="C104" s="43"/>
      <c r="D104" s="43"/>
      <c r="E104" s="43"/>
      <c r="F104" s="43"/>
      <c r="G104" s="44"/>
      <c r="H104" s="45"/>
      <c r="I104" s="58"/>
      <c r="J104" s="46"/>
      <c r="K104" s="43"/>
      <c r="L104" s="45"/>
      <c r="M104" s="58"/>
      <c r="N104" s="46"/>
      <c r="O104" s="43"/>
      <c r="P104" s="99">
        <v>0</v>
      </c>
      <c r="Q104" s="97">
        <v>0</v>
      </c>
      <c r="R104" s="23"/>
      <c r="S104" s="56"/>
      <c r="T104" s="56"/>
      <c r="U104" s="24"/>
    </row>
    <row r="105" spans="1:21" s="37" customFormat="1" ht="25.5" x14ac:dyDescent="0.2">
      <c r="A105" s="72" t="s">
        <v>144</v>
      </c>
      <c r="B105" s="43"/>
      <c r="C105" s="43"/>
      <c r="D105" s="43">
        <v>19688.03</v>
      </c>
      <c r="E105" s="43"/>
      <c r="F105" s="43"/>
      <c r="G105" s="44"/>
      <c r="H105" s="45"/>
      <c r="I105" s="58"/>
      <c r="J105" s="46">
        <v>19738.099999999999</v>
      </c>
      <c r="K105" s="43"/>
      <c r="L105" s="45"/>
      <c r="M105" s="58"/>
      <c r="N105" s="46"/>
      <c r="O105" s="43"/>
      <c r="P105" s="55"/>
      <c r="Q105" s="46"/>
      <c r="R105" s="23"/>
      <c r="S105" s="56"/>
      <c r="T105" s="56"/>
      <c r="U105" s="24"/>
    </row>
    <row r="106" spans="1:21" s="8" customFormat="1" x14ac:dyDescent="0.2">
      <c r="A106" s="100" t="s">
        <v>165</v>
      </c>
      <c r="B106" s="43"/>
      <c r="C106" s="43"/>
      <c r="D106" s="43"/>
      <c r="E106" s="43"/>
      <c r="F106" s="43"/>
      <c r="G106" s="44"/>
      <c r="H106" s="45"/>
      <c r="I106" s="58">
        <v>0</v>
      </c>
      <c r="J106" s="46"/>
      <c r="K106" s="43"/>
      <c r="L106" s="45"/>
      <c r="M106" s="96">
        <v>45900</v>
      </c>
      <c r="N106" s="96">
        <v>28000</v>
      </c>
      <c r="O106" s="43"/>
      <c r="P106" s="99">
        <v>2520</v>
      </c>
      <c r="Q106" s="97">
        <v>20420</v>
      </c>
      <c r="R106" s="43"/>
      <c r="S106" s="55"/>
      <c r="T106" s="55"/>
      <c r="U106" s="46"/>
    </row>
    <row r="107" spans="1:21" s="8" customFormat="1" x14ac:dyDescent="0.2">
      <c r="A107" s="100" t="s">
        <v>166</v>
      </c>
      <c r="B107" s="43"/>
      <c r="C107" s="43"/>
      <c r="D107" s="43"/>
      <c r="E107" s="43"/>
      <c r="F107" s="43"/>
      <c r="G107" s="44"/>
      <c r="H107" s="45"/>
      <c r="I107" s="58">
        <v>0</v>
      </c>
      <c r="J107" s="46"/>
      <c r="K107" s="43"/>
      <c r="L107" s="45"/>
      <c r="M107" s="96">
        <v>14989</v>
      </c>
      <c r="N107" s="96">
        <v>14989</v>
      </c>
      <c r="O107" s="43"/>
      <c r="P107" s="55"/>
      <c r="Q107" s="46"/>
      <c r="R107" s="43"/>
      <c r="S107" s="55"/>
      <c r="T107" s="55"/>
      <c r="U107" s="46"/>
    </row>
    <row r="108" spans="1:21" s="8" customFormat="1" x14ac:dyDescent="0.2">
      <c r="A108" s="100" t="s">
        <v>167</v>
      </c>
      <c r="B108" s="43"/>
      <c r="C108" s="43"/>
      <c r="D108" s="43"/>
      <c r="E108" s="43"/>
      <c r="F108" s="43"/>
      <c r="G108" s="44"/>
      <c r="H108" s="45"/>
      <c r="I108" s="58">
        <v>0</v>
      </c>
      <c r="J108" s="46"/>
      <c r="K108" s="43"/>
      <c r="L108" s="45"/>
      <c r="M108" s="96">
        <v>2790</v>
      </c>
      <c r="N108" s="58"/>
      <c r="O108" s="43"/>
      <c r="P108" s="99">
        <v>21330</v>
      </c>
      <c r="Q108" s="97">
        <v>24120</v>
      </c>
      <c r="R108" s="43"/>
      <c r="S108" s="55"/>
      <c r="T108" s="55"/>
      <c r="U108" s="46"/>
    </row>
    <row r="109" spans="1:21" x14ac:dyDescent="0.2">
      <c r="A109" s="20" t="s">
        <v>19</v>
      </c>
      <c r="B109" s="23"/>
      <c r="C109" s="23"/>
      <c r="D109" s="23"/>
      <c r="E109" s="23"/>
      <c r="F109" s="23"/>
      <c r="G109" s="6"/>
      <c r="H109" s="7">
        <v>41000</v>
      </c>
      <c r="I109" s="62"/>
      <c r="J109" s="32"/>
      <c r="K109" s="23"/>
      <c r="L109" s="6"/>
      <c r="M109" s="59"/>
      <c r="N109" s="24"/>
      <c r="O109" s="23"/>
      <c r="P109" s="56"/>
      <c r="Q109" s="24"/>
      <c r="R109" s="23"/>
      <c r="S109" s="56"/>
      <c r="T109" s="56"/>
      <c r="U109" s="24"/>
    </row>
    <row r="110" spans="1:21" x14ac:dyDescent="0.2">
      <c r="A110" s="20" t="s">
        <v>20</v>
      </c>
      <c r="B110" s="23"/>
      <c r="C110" s="23"/>
      <c r="D110" s="23"/>
      <c r="E110" s="23"/>
      <c r="F110" s="23"/>
      <c r="G110" s="6"/>
      <c r="H110" s="6">
        <v>115000</v>
      </c>
      <c r="I110" s="59"/>
      <c r="J110" s="24"/>
      <c r="K110" s="47"/>
      <c r="L110" s="6">
        <v>69416</v>
      </c>
      <c r="M110" s="59"/>
      <c r="N110" s="24"/>
      <c r="O110" s="23"/>
      <c r="P110" s="56"/>
      <c r="Q110" s="24"/>
      <c r="R110" s="23"/>
      <c r="S110" s="56"/>
      <c r="T110" s="56"/>
      <c r="U110" s="24"/>
    </row>
    <row r="111" spans="1:21" x14ac:dyDescent="0.2">
      <c r="A111" s="20" t="s">
        <v>21</v>
      </c>
      <c r="B111" s="23"/>
      <c r="C111" s="23"/>
      <c r="D111" s="23"/>
      <c r="E111" s="23"/>
      <c r="F111" s="23"/>
      <c r="G111" s="6"/>
      <c r="H111" s="6">
        <v>3500</v>
      </c>
      <c r="I111" s="59"/>
      <c r="J111" s="24"/>
      <c r="K111" s="47"/>
      <c r="L111" s="6">
        <v>15500</v>
      </c>
      <c r="M111" s="59"/>
      <c r="N111" s="24"/>
      <c r="O111" s="23"/>
      <c r="P111" s="56"/>
      <c r="Q111" s="24"/>
      <c r="R111" s="23"/>
      <c r="S111" s="56"/>
      <c r="T111" s="56"/>
      <c r="U111" s="24"/>
    </row>
    <row r="112" spans="1:21" x14ac:dyDescent="0.2">
      <c r="A112" s="20" t="s">
        <v>22</v>
      </c>
      <c r="B112" s="23"/>
      <c r="C112" s="23"/>
      <c r="D112" s="23"/>
      <c r="E112" s="23"/>
      <c r="F112" s="23"/>
      <c r="G112" s="6"/>
      <c r="H112" s="6">
        <f>1000+2500</f>
        <v>3500</v>
      </c>
      <c r="I112" s="59"/>
      <c r="J112" s="24"/>
      <c r="K112" s="23"/>
      <c r="L112" s="6">
        <f>32500-2500</f>
        <v>30000</v>
      </c>
      <c r="M112" s="59"/>
      <c r="N112" s="24"/>
      <c r="O112" s="23"/>
      <c r="P112" s="56"/>
      <c r="Q112" s="24"/>
      <c r="R112" s="23"/>
      <c r="S112" s="56"/>
      <c r="T112" s="56"/>
      <c r="U112" s="24"/>
    </row>
    <row r="113" spans="1:21" s="8" customFormat="1" x14ac:dyDescent="0.2">
      <c r="A113" s="17" t="s">
        <v>29</v>
      </c>
      <c r="B113" s="25">
        <f t="shared" ref="B113:R113" si="5">SUM(B104:B112)</f>
        <v>0</v>
      </c>
      <c r="C113" s="25">
        <f>SUM(C104:C112)</f>
        <v>0</v>
      </c>
      <c r="D113" s="25">
        <f t="shared" si="5"/>
        <v>19688.03</v>
      </c>
      <c r="E113" s="25">
        <f t="shared" si="5"/>
        <v>0</v>
      </c>
      <c r="F113" s="25">
        <f t="shared" si="5"/>
        <v>0</v>
      </c>
      <c r="G113" s="1">
        <f t="shared" si="5"/>
        <v>0</v>
      </c>
      <c r="H113" s="1">
        <f t="shared" si="5"/>
        <v>163000</v>
      </c>
      <c r="I113" s="60">
        <f t="shared" si="5"/>
        <v>0</v>
      </c>
      <c r="J113" s="63">
        <f t="shared" si="5"/>
        <v>19738.099999999999</v>
      </c>
      <c r="K113" s="25">
        <f t="shared" si="5"/>
        <v>0</v>
      </c>
      <c r="L113" s="1">
        <f t="shared" si="5"/>
        <v>114916</v>
      </c>
      <c r="M113" s="1">
        <f t="shared" si="5"/>
        <v>63679</v>
      </c>
      <c r="N113" s="26">
        <f t="shared" si="5"/>
        <v>42989</v>
      </c>
      <c r="O113" s="25">
        <f t="shared" si="5"/>
        <v>0</v>
      </c>
      <c r="P113" s="15">
        <f t="shared" si="5"/>
        <v>23850</v>
      </c>
      <c r="Q113" s="26">
        <f t="shared" si="5"/>
        <v>44540</v>
      </c>
      <c r="R113" s="25">
        <f t="shared" si="5"/>
        <v>0</v>
      </c>
      <c r="S113" s="15"/>
      <c r="T113" s="15">
        <f>SUM(T104:T112)</f>
        <v>0</v>
      </c>
      <c r="U113" s="26">
        <f>SUM(U104:U112)</f>
        <v>0</v>
      </c>
    </row>
    <row r="114" spans="1:21" s="37" customFormat="1" x14ac:dyDescent="0.2">
      <c r="A114" s="41" t="s">
        <v>109</v>
      </c>
      <c r="B114" s="43"/>
      <c r="C114" s="43"/>
      <c r="D114" s="43"/>
      <c r="E114" s="43"/>
      <c r="F114" s="43"/>
      <c r="G114" s="44"/>
      <c r="H114" s="45"/>
      <c r="I114" s="58"/>
      <c r="J114" s="46"/>
      <c r="K114" s="43"/>
      <c r="L114" s="45"/>
      <c r="M114" s="58"/>
      <c r="N114" s="46"/>
      <c r="O114" s="43"/>
      <c r="P114" s="55"/>
      <c r="Q114" s="46"/>
      <c r="R114" s="43"/>
      <c r="S114" s="55"/>
      <c r="T114" s="55"/>
      <c r="U114" s="46"/>
    </row>
    <row r="115" spans="1:21" s="37" customFormat="1" x14ac:dyDescent="0.2">
      <c r="A115" s="41" t="s">
        <v>110</v>
      </c>
      <c r="B115" s="43"/>
      <c r="C115" s="43"/>
      <c r="D115" s="43">
        <v>205.7</v>
      </c>
      <c r="E115" s="43"/>
      <c r="F115" s="43"/>
      <c r="G115" s="44"/>
      <c r="H115" s="45"/>
      <c r="I115" s="58">
        <f>13000+106.48</f>
        <v>13106.48</v>
      </c>
      <c r="J115" s="46">
        <v>9000</v>
      </c>
      <c r="K115" s="43"/>
      <c r="L115" s="45"/>
      <c r="M115" s="58">
        <v>30000</v>
      </c>
      <c r="N115" s="46">
        <v>27200</v>
      </c>
      <c r="O115" s="43"/>
      <c r="P115" s="55">
        <v>2276</v>
      </c>
      <c r="Q115" s="46">
        <v>9076</v>
      </c>
      <c r="R115" s="43"/>
      <c r="S115" s="55"/>
      <c r="T115" s="55"/>
      <c r="U115" s="46"/>
    </row>
    <row r="116" spans="1:21" s="8" customFormat="1" x14ac:dyDescent="0.2">
      <c r="A116" s="17" t="s">
        <v>32</v>
      </c>
      <c r="B116" s="25">
        <f t="shared" ref="B116:R116" si="6">SUM(B114:B115)</f>
        <v>0</v>
      </c>
      <c r="C116" s="25">
        <f t="shared" si="6"/>
        <v>0</v>
      </c>
      <c r="D116" s="25">
        <f t="shared" si="6"/>
        <v>205.7</v>
      </c>
      <c r="E116" s="25">
        <f t="shared" si="6"/>
        <v>0</v>
      </c>
      <c r="F116" s="25">
        <f t="shared" si="6"/>
        <v>0</v>
      </c>
      <c r="G116" s="1">
        <f t="shared" si="6"/>
        <v>0</v>
      </c>
      <c r="H116" s="1">
        <f t="shared" si="6"/>
        <v>0</v>
      </c>
      <c r="I116" s="60">
        <f t="shared" si="6"/>
        <v>13106.48</v>
      </c>
      <c r="J116" s="63">
        <f t="shared" si="6"/>
        <v>9000</v>
      </c>
      <c r="K116" s="25">
        <f t="shared" si="6"/>
        <v>0</v>
      </c>
      <c r="L116" s="1">
        <f t="shared" si="6"/>
        <v>0</v>
      </c>
      <c r="M116" s="1">
        <f t="shared" si="6"/>
        <v>30000</v>
      </c>
      <c r="N116" s="26">
        <f t="shared" si="6"/>
        <v>27200</v>
      </c>
      <c r="O116" s="25">
        <f t="shared" si="6"/>
        <v>0</v>
      </c>
      <c r="P116" s="15">
        <f t="shared" si="6"/>
        <v>2276</v>
      </c>
      <c r="Q116" s="26">
        <f t="shared" si="6"/>
        <v>9076</v>
      </c>
      <c r="R116" s="25">
        <f t="shared" si="6"/>
        <v>0</v>
      </c>
      <c r="S116" s="15"/>
      <c r="T116" s="15">
        <f>SUM(T114:T115)</f>
        <v>0</v>
      </c>
      <c r="U116" s="26">
        <f>SUM(U114:U115)</f>
        <v>0</v>
      </c>
    </row>
    <row r="117" spans="1:21" s="37" customFormat="1" x14ac:dyDescent="0.2">
      <c r="A117" s="42" t="s">
        <v>98</v>
      </c>
      <c r="B117" s="43"/>
      <c r="C117" s="43"/>
      <c r="D117" s="43"/>
      <c r="E117" s="43"/>
      <c r="F117" s="43"/>
      <c r="G117" s="44"/>
      <c r="H117" s="45"/>
      <c r="I117" s="58"/>
      <c r="J117" s="46"/>
      <c r="K117" s="43"/>
      <c r="L117" s="45"/>
      <c r="M117" s="58">
        <v>69500</v>
      </c>
      <c r="N117" s="46">
        <v>69500</v>
      </c>
      <c r="O117" s="43"/>
      <c r="P117" s="55"/>
      <c r="Q117" s="46"/>
      <c r="R117" s="43"/>
      <c r="S117" s="55"/>
      <c r="T117" s="55"/>
      <c r="U117" s="46"/>
    </row>
    <row r="118" spans="1:21" s="37" customFormat="1" ht="25.5" x14ac:dyDescent="0.2">
      <c r="A118" s="42" t="s">
        <v>99</v>
      </c>
      <c r="B118" s="43"/>
      <c r="C118" s="43"/>
      <c r="D118" s="43"/>
      <c r="E118" s="43"/>
      <c r="F118" s="43"/>
      <c r="G118" s="44"/>
      <c r="H118" s="45"/>
      <c r="I118" s="58"/>
      <c r="J118" s="46"/>
      <c r="K118" s="43"/>
      <c r="L118" s="45"/>
      <c r="M118" s="58">
        <v>14784</v>
      </c>
      <c r="N118" s="46"/>
      <c r="O118" s="43"/>
      <c r="P118" s="55"/>
      <c r="Q118" s="46">
        <v>14784</v>
      </c>
      <c r="R118" s="43"/>
      <c r="S118" s="55"/>
      <c r="T118" s="55"/>
      <c r="U118" s="46"/>
    </row>
    <row r="119" spans="1:21" s="37" customFormat="1" x14ac:dyDescent="0.2">
      <c r="A119" s="42" t="s">
        <v>100</v>
      </c>
      <c r="B119" s="43"/>
      <c r="C119" s="43"/>
      <c r="D119" s="43"/>
      <c r="E119" s="43"/>
      <c r="F119" s="43"/>
      <c r="G119" s="44"/>
      <c r="H119" s="45"/>
      <c r="I119" s="58"/>
      <c r="J119" s="46"/>
      <c r="K119" s="43"/>
      <c r="L119" s="45"/>
      <c r="M119" s="58">
        <v>88500</v>
      </c>
      <c r="N119" s="46">
        <v>88500</v>
      </c>
      <c r="O119" s="43"/>
      <c r="P119" s="55"/>
      <c r="Q119" s="46"/>
      <c r="R119" s="43"/>
      <c r="S119" s="55"/>
      <c r="T119" s="55"/>
      <c r="U119" s="46"/>
    </row>
    <row r="120" spans="1:21" x14ac:dyDescent="0.2">
      <c r="A120" s="40" t="s">
        <v>92</v>
      </c>
      <c r="B120" s="23"/>
      <c r="C120" s="23"/>
      <c r="D120" s="23"/>
      <c r="E120" s="23"/>
      <c r="F120" s="23"/>
      <c r="G120" s="6"/>
      <c r="H120" s="6"/>
      <c r="I120" s="59"/>
      <c r="J120" s="24"/>
      <c r="K120" s="23"/>
      <c r="L120" s="6"/>
      <c r="M120" s="59"/>
      <c r="N120" s="24"/>
      <c r="O120" s="23"/>
      <c r="P120" s="56">
        <v>141437</v>
      </c>
      <c r="Q120" s="24">
        <v>141437</v>
      </c>
      <c r="R120" s="23"/>
      <c r="S120" s="56"/>
      <c r="T120" s="56"/>
      <c r="U120" s="24"/>
    </row>
    <row r="121" spans="1:21" s="8" customFormat="1" x14ac:dyDescent="0.2">
      <c r="A121" s="17" t="s">
        <v>93</v>
      </c>
      <c r="B121" s="25">
        <f t="shared" ref="B121:R121" si="7">SUM(B117:B120)</f>
        <v>0</v>
      </c>
      <c r="C121" s="25">
        <f t="shared" si="7"/>
        <v>0</v>
      </c>
      <c r="D121" s="25">
        <f t="shared" si="7"/>
        <v>0</v>
      </c>
      <c r="E121" s="25">
        <f t="shared" si="7"/>
        <v>0</v>
      </c>
      <c r="F121" s="25">
        <f t="shared" si="7"/>
        <v>0</v>
      </c>
      <c r="G121" s="1">
        <f t="shared" si="7"/>
        <v>0</v>
      </c>
      <c r="H121" s="1">
        <f t="shared" si="7"/>
        <v>0</v>
      </c>
      <c r="I121" s="60">
        <f t="shared" si="7"/>
        <v>0</v>
      </c>
      <c r="J121" s="63">
        <f t="shared" si="7"/>
        <v>0</v>
      </c>
      <c r="K121" s="25">
        <f t="shared" si="7"/>
        <v>0</v>
      </c>
      <c r="L121" s="1">
        <f t="shared" si="7"/>
        <v>0</v>
      </c>
      <c r="M121" s="1">
        <f t="shared" si="7"/>
        <v>172784</v>
      </c>
      <c r="N121" s="26">
        <f t="shared" si="7"/>
        <v>158000</v>
      </c>
      <c r="O121" s="25">
        <f t="shared" si="7"/>
        <v>0</v>
      </c>
      <c r="P121" s="15">
        <f t="shared" si="7"/>
        <v>141437</v>
      </c>
      <c r="Q121" s="26">
        <f t="shared" si="7"/>
        <v>156221</v>
      </c>
      <c r="R121" s="25">
        <f t="shared" si="7"/>
        <v>0</v>
      </c>
      <c r="S121" s="15"/>
      <c r="T121" s="15">
        <f>SUM(T117:T120)</f>
        <v>0</v>
      </c>
      <c r="U121" s="26">
        <f>SUM(U117:U120)</f>
        <v>0</v>
      </c>
    </row>
    <row r="122" spans="1:21" s="37" customFormat="1" x14ac:dyDescent="0.2">
      <c r="A122" s="41" t="s">
        <v>111</v>
      </c>
      <c r="B122" s="43"/>
      <c r="C122" s="43"/>
      <c r="D122" s="43"/>
      <c r="E122" s="43"/>
      <c r="F122" s="43"/>
      <c r="G122" s="44"/>
      <c r="H122" s="45"/>
      <c r="I122" s="58"/>
      <c r="J122" s="46"/>
      <c r="K122" s="43"/>
      <c r="L122" s="89">
        <v>15000</v>
      </c>
      <c r="M122" s="58">
        <v>84500</v>
      </c>
      <c r="N122" s="46"/>
      <c r="O122" s="90">
        <v>20915</v>
      </c>
      <c r="P122" s="55">
        <v>113500</v>
      </c>
      <c r="Q122" s="46">
        <v>198000</v>
      </c>
      <c r="R122" s="43"/>
      <c r="S122" s="55"/>
      <c r="T122" s="55"/>
      <c r="U122" s="46"/>
    </row>
    <row r="123" spans="1:21" s="8" customFormat="1" x14ac:dyDescent="0.2">
      <c r="A123" s="17" t="s">
        <v>112</v>
      </c>
      <c r="B123" s="1">
        <f t="shared" ref="B123:U123" si="8">SUBTOTAL(9,B122)</f>
        <v>0</v>
      </c>
      <c r="C123" s="1">
        <f t="shared" si="8"/>
        <v>0</v>
      </c>
      <c r="D123" s="1">
        <f t="shared" si="8"/>
        <v>0</v>
      </c>
      <c r="E123" s="1">
        <f t="shared" si="8"/>
        <v>0</v>
      </c>
      <c r="F123" s="1">
        <f t="shared" si="8"/>
        <v>0</v>
      </c>
      <c r="G123" s="1">
        <f t="shared" si="8"/>
        <v>0</v>
      </c>
      <c r="H123" s="1">
        <f t="shared" si="8"/>
        <v>0</v>
      </c>
      <c r="I123" s="60">
        <f t="shared" si="8"/>
        <v>0</v>
      </c>
      <c r="J123" s="63">
        <f t="shared" si="8"/>
        <v>0</v>
      </c>
      <c r="K123" s="25">
        <f t="shared" si="8"/>
        <v>0</v>
      </c>
      <c r="L123" s="1">
        <f t="shared" si="8"/>
        <v>15000</v>
      </c>
      <c r="M123" s="1">
        <f t="shared" si="8"/>
        <v>84500</v>
      </c>
      <c r="N123" s="26">
        <f t="shared" si="8"/>
        <v>0</v>
      </c>
      <c r="O123" s="25">
        <f t="shared" si="8"/>
        <v>20915</v>
      </c>
      <c r="P123" s="15">
        <f>SUM(P122)</f>
        <v>113500</v>
      </c>
      <c r="Q123" s="26">
        <f t="shared" si="8"/>
        <v>198000</v>
      </c>
      <c r="R123" s="25">
        <f t="shared" si="8"/>
        <v>0</v>
      </c>
      <c r="S123" s="15"/>
      <c r="T123" s="15">
        <f>SUM(T122)</f>
        <v>0</v>
      </c>
      <c r="U123" s="26">
        <f t="shared" si="8"/>
        <v>0</v>
      </c>
    </row>
    <row r="124" spans="1:21" s="8" customFormat="1" ht="18.75" customHeight="1" x14ac:dyDescent="0.2">
      <c r="A124" s="73"/>
      <c r="B124" s="74">
        <f t="shared" ref="B124:R124" si="9">B123+B121+B116+B113+B103+B62+B49+B34</f>
        <v>0</v>
      </c>
      <c r="C124" s="74">
        <f t="shared" si="9"/>
        <v>0</v>
      </c>
      <c r="D124" s="74">
        <f t="shared" si="9"/>
        <v>312288.5</v>
      </c>
      <c r="E124" s="74">
        <f t="shared" si="9"/>
        <v>331976.3</v>
      </c>
      <c r="F124" s="74">
        <f t="shared" si="9"/>
        <v>199479.2</v>
      </c>
      <c r="G124" s="74">
        <f t="shared" si="9"/>
        <v>0</v>
      </c>
      <c r="H124" s="74">
        <f t="shared" si="9"/>
        <v>730240</v>
      </c>
      <c r="I124" s="74">
        <f t="shared" si="9"/>
        <v>688354.27</v>
      </c>
      <c r="J124" s="74">
        <f t="shared" si="9"/>
        <v>584267.05000000005</v>
      </c>
      <c r="K124" s="74">
        <f t="shared" si="9"/>
        <v>0</v>
      </c>
      <c r="L124" s="74">
        <f t="shared" si="9"/>
        <v>1018249</v>
      </c>
      <c r="M124" s="74">
        <f t="shared" si="9"/>
        <v>919327.58</v>
      </c>
      <c r="N124" s="74">
        <f t="shared" si="9"/>
        <v>728237.99</v>
      </c>
      <c r="O124" s="74">
        <f t="shared" si="9"/>
        <v>471228</v>
      </c>
      <c r="P124" s="74">
        <f t="shared" si="9"/>
        <v>806154</v>
      </c>
      <c r="Q124" s="74">
        <f t="shared" si="9"/>
        <v>1413515</v>
      </c>
      <c r="R124" s="74">
        <f t="shared" si="9"/>
        <v>671044</v>
      </c>
      <c r="S124" s="75"/>
      <c r="T124" s="74">
        <f>T123+T121+T116+T113+T103+T62+T49+T34</f>
        <v>0</v>
      </c>
      <c r="U124" s="74">
        <f>U123+U121+U116+U113+U103+U62+U49+U34</f>
        <v>125615</v>
      </c>
    </row>
    <row r="125" spans="1:21" s="8" customFormat="1" x14ac:dyDescent="0.2">
      <c r="A125" s="2"/>
      <c r="B125" s="29"/>
      <c r="C125" s="29"/>
      <c r="D125" s="29"/>
      <c r="E125" s="29"/>
      <c r="F125" s="29"/>
      <c r="G125" s="3"/>
      <c r="H125" s="3"/>
      <c r="I125" s="3"/>
      <c r="J125" s="64"/>
      <c r="K125" s="29"/>
      <c r="L125" s="3"/>
      <c r="M125" s="3"/>
      <c r="N125" s="30"/>
      <c r="O125" s="29"/>
      <c r="P125" s="3"/>
      <c r="Q125" s="30"/>
      <c r="R125" s="29"/>
      <c r="S125" s="3"/>
      <c r="T125" s="3"/>
      <c r="U125" s="30"/>
    </row>
    <row r="126" spans="1:21" s="8" customFormat="1" ht="38.25" x14ac:dyDescent="0.2">
      <c r="A126" s="51" t="s">
        <v>137</v>
      </c>
      <c r="B126" s="66"/>
      <c r="C126" s="66"/>
      <c r="D126" s="66"/>
      <c r="E126" s="66"/>
      <c r="F126" s="66"/>
      <c r="G126" s="67"/>
      <c r="H126" s="67"/>
      <c r="I126" s="68"/>
      <c r="J126" s="69"/>
      <c r="K126" s="66"/>
      <c r="L126" s="67"/>
      <c r="M126" s="68"/>
      <c r="N126" s="69"/>
      <c r="O126" s="66"/>
      <c r="P126" s="70"/>
      <c r="Q126" s="69"/>
      <c r="R126" s="66"/>
      <c r="S126" s="70"/>
      <c r="T126" s="70"/>
      <c r="U126" s="69"/>
    </row>
    <row r="127" spans="1:21" s="8" customFormat="1" ht="38.25" x14ac:dyDescent="0.2">
      <c r="A127" s="52" t="s">
        <v>117</v>
      </c>
      <c r="B127" s="43"/>
      <c r="C127" s="43"/>
      <c r="D127" s="43">
        <v>4200.32</v>
      </c>
      <c r="E127" s="43">
        <v>0</v>
      </c>
      <c r="F127" s="43"/>
      <c r="G127" s="44"/>
      <c r="H127" s="45"/>
      <c r="I127" s="58"/>
      <c r="J127" s="46">
        <v>5354.55</v>
      </c>
      <c r="K127" s="43"/>
      <c r="L127" s="45"/>
      <c r="M127" s="58"/>
      <c r="N127" s="46"/>
      <c r="O127" s="43"/>
      <c r="P127" s="55"/>
      <c r="Q127" s="46"/>
      <c r="R127" s="43"/>
      <c r="S127" s="55"/>
      <c r="T127" s="55"/>
      <c r="U127" s="46"/>
    </row>
    <row r="128" spans="1:21" s="8" customFormat="1" ht="25.5" x14ac:dyDescent="0.2">
      <c r="A128" s="52" t="s">
        <v>118</v>
      </c>
      <c r="B128" s="43"/>
      <c r="C128" s="43"/>
      <c r="D128" s="43">
        <v>12485.01</v>
      </c>
      <c r="E128" s="43"/>
      <c r="F128" s="43"/>
      <c r="G128" s="44"/>
      <c r="H128" s="45"/>
      <c r="I128" s="58">
        <v>1198.5</v>
      </c>
      <c r="J128" s="46">
        <v>13683.76</v>
      </c>
      <c r="K128" s="43"/>
      <c r="L128" s="45"/>
      <c r="M128" s="58"/>
      <c r="N128" s="46"/>
      <c r="O128" s="43"/>
      <c r="P128" s="55"/>
      <c r="Q128" s="46"/>
      <c r="R128" s="43"/>
      <c r="S128" s="55"/>
      <c r="T128" s="55"/>
      <c r="U128" s="46"/>
    </row>
    <row r="129" spans="1:21" s="8" customFormat="1" ht="25.5" x14ac:dyDescent="0.2">
      <c r="A129" s="52" t="s">
        <v>119</v>
      </c>
      <c r="B129" s="43"/>
      <c r="C129" s="43"/>
      <c r="D129" s="43">
        <v>731.76</v>
      </c>
      <c r="E129" s="43"/>
      <c r="F129" s="43"/>
      <c r="G129" s="44"/>
      <c r="H129" s="45"/>
      <c r="I129" s="58">
        <v>11.66</v>
      </c>
      <c r="J129" s="46"/>
      <c r="K129" s="43"/>
      <c r="L129" s="45"/>
      <c r="M129" s="58"/>
      <c r="N129" s="46">
        <v>743.42</v>
      </c>
      <c r="O129" s="43"/>
      <c r="P129" s="55"/>
      <c r="Q129" s="46"/>
      <c r="R129" s="43"/>
      <c r="S129" s="55"/>
      <c r="T129" s="55"/>
      <c r="U129" s="46"/>
    </row>
    <row r="130" spans="1:21" s="8" customFormat="1" ht="25.5" x14ac:dyDescent="0.2">
      <c r="A130" s="53" t="s">
        <v>120</v>
      </c>
      <c r="B130" s="43"/>
      <c r="C130" s="43"/>
      <c r="D130" s="43">
        <v>40663.625010000003</v>
      </c>
      <c r="E130" s="43"/>
      <c r="F130" s="43"/>
      <c r="G130" s="44"/>
      <c r="H130" s="45"/>
      <c r="I130" s="58">
        <v>5605.38</v>
      </c>
      <c r="J130" s="46">
        <v>46269</v>
      </c>
      <c r="K130" s="43"/>
      <c r="L130" s="45"/>
      <c r="M130" s="58"/>
      <c r="N130" s="46"/>
      <c r="O130" s="43"/>
      <c r="P130" s="55"/>
      <c r="Q130" s="46"/>
      <c r="R130" s="43"/>
      <c r="S130" s="55"/>
      <c r="T130" s="55"/>
      <c r="U130" s="46"/>
    </row>
    <row r="131" spans="1:21" s="8" customFormat="1" ht="25.5" x14ac:dyDescent="0.2">
      <c r="A131" s="53" t="s">
        <v>121</v>
      </c>
      <c r="B131" s="43"/>
      <c r="C131" s="43"/>
      <c r="D131" s="43">
        <v>0</v>
      </c>
      <c r="E131" s="43"/>
      <c r="F131" s="43"/>
      <c r="G131" s="44"/>
      <c r="H131" s="45"/>
      <c r="I131" s="58">
        <f>29294+22500</f>
        <v>51794</v>
      </c>
      <c r="J131" s="46"/>
      <c r="K131" s="43"/>
      <c r="L131" s="45"/>
      <c r="M131" s="58"/>
      <c r="N131" s="46">
        <v>51794</v>
      </c>
      <c r="O131" s="43"/>
      <c r="P131" s="55"/>
      <c r="Q131" s="46"/>
      <c r="R131" s="43"/>
      <c r="S131" s="55"/>
      <c r="T131" s="55"/>
      <c r="U131" s="46"/>
    </row>
    <row r="132" spans="1:21" s="8" customFormat="1" ht="25.5" x14ac:dyDescent="0.2">
      <c r="A132" s="53" t="s">
        <v>122</v>
      </c>
      <c r="B132" s="43"/>
      <c r="C132" s="43"/>
      <c r="D132" s="43"/>
      <c r="E132" s="43"/>
      <c r="F132" s="43"/>
      <c r="G132" s="44"/>
      <c r="H132" s="45"/>
      <c r="I132" s="58"/>
      <c r="J132" s="46"/>
      <c r="K132" s="43"/>
      <c r="L132" s="45"/>
      <c r="M132" s="58"/>
      <c r="N132" s="46"/>
      <c r="O132" s="43"/>
      <c r="P132" s="55"/>
      <c r="Q132" s="46"/>
      <c r="R132" s="43"/>
      <c r="S132" s="55"/>
      <c r="T132" s="55"/>
      <c r="U132" s="46"/>
    </row>
    <row r="133" spans="1:21" s="8" customFormat="1" ht="25.5" x14ac:dyDescent="0.2">
      <c r="A133" s="53" t="s">
        <v>123</v>
      </c>
      <c r="B133" s="43"/>
      <c r="C133" s="43"/>
      <c r="D133" s="43"/>
      <c r="E133" s="43"/>
      <c r="F133" s="43"/>
      <c r="G133" s="44"/>
      <c r="H133" s="45"/>
      <c r="I133" s="58"/>
      <c r="J133" s="46"/>
      <c r="K133" s="43"/>
      <c r="L133" s="45"/>
      <c r="M133" s="58"/>
      <c r="N133" s="46"/>
      <c r="O133" s="43"/>
      <c r="P133" s="55"/>
      <c r="Q133" s="46"/>
      <c r="R133" s="43"/>
      <c r="S133" s="55"/>
      <c r="T133" s="55"/>
      <c r="U133" s="46"/>
    </row>
    <row r="134" spans="1:21" s="8" customFormat="1" ht="25.5" x14ac:dyDescent="0.2">
      <c r="A134" s="53" t="s">
        <v>124</v>
      </c>
      <c r="B134" s="43"/>
      <c r="C134" s="43"/>
      <c r="D134" s="43"/>
      <c r="E134" s="43"/>
      <c r="F134" s="43"/>
      <c r="G134" s="44"/>
      <c r="H134" s="45"/>
      <c r="I134" s="58"/>
      <c r="J134" s="46"/>
      <c r="K134" s="43"/>
      <c r="L134" s="45"/>
      <c r="M134" s="58"/>
      <c r="N134" s="46"/>
      <c r="O134" s="43"/>
      <c r="P134" s="55"/>
      <c r="Q134" s="46"/>
      <c r="R134" s="43"/>
      <c r="S134" s="55"/>
      <c r="T134" s="55"/>
      <c r="U134" s="46"/>
    </row>
    <row r="135" spans="1:21" s="8" customFormat="1" ht="25.5" x14ac:dyDescent="0.2">
      <c r="A135" s="53" t="s">
        <v>125</v>
      </c>
      <c r="B135" s="43"/>
      <c r="C135" s="43"/>
      <c r="D135" s="43"/>
      <c r="E135" s="43"/>
      <c r="F135" s="43"/>
      <c r="G135" s="44"/>
      <c r="H135" s="45"/>
      <c r="I135" s="58"/>
      <c r="J135" s="46"/>
      <c r="K135" s="43"/>
      <c r="L135" s="45"/>
      <c r="M135" s="58"/>
      <c r="N135" s="46"/>
      <c r="O135" s="43"/>
      <c r="P135" s="55"/>
      <c r="Q135" s="46"/>
      <c r="R135" s="43"/>
      <c r="S135" s="55"/>
      <c r="T135" s="55"/>
      <c r="U135" s="46"/>
    </row>
    <row r="136" spans="1:21" s="8" customFormat="1" ht="25.5" x14ac:dyDescent="0.2">
      <c r="A136" s="53" t="s">
        <v>126</v>
      </c>
      <c r="B136" s="43"/>
      <c r="C136" s="43"/>
      <c r="D136" s="43"/>
      <c r="E136" s="43"/>
      <c r="F136" s="43"/>
      <c r="G136" s="44"/>
      <c r="H136" s="45"/>
      <c r="I136" s="58"/>
      <c r="J136" s="46"/>
      <c r="K136" s="43"/>
      <c r="L136" s="45"/>
      <c r="M136" s="58"/>
      <c r="N136" s="46"/>
      <c r="O136" s="43"/>
      <c r="P136" s="55"/>
      <c r="Q136" s="46"/>
      <c r="R136" s="43"/>
      <c r="S136" s="55"/>
      <c r="T136" s="55"/>
      <c r="U136" s="46"/>
    </row>
    <row r="137" spans="1:21" s="8" customFormat="1" ht="38.25" x14ac:dyDescent="0.2">
      <c r="A137" s="53" t="s">
        <v>127</v>
      </c>
      <c r="B137" s="43"/>
      <c r="C137" s="43"/>
      <c r="D137" s="43"/>
      <c r="E137" s="43"/>
      <c r="F137" s="43"/>
      <c r="G137" s="44"/>
      <c r="H137" s="45"/>
      <c r="I137" s="58"/>
      <c r="J137" s="46"/>
      <c r="K137" s="43"/>
      <c r="L137" s="45"/>
      <c r="M137" s="58"/>
      <c r="N137" s="46"/>
      <c r="O137" s="43"/>
      <c r="P137" s="55"/>
      <c r="Q137" s="46"/>
      <c r="R137" s="43"/>
      <c r="S137" s="55"/>
      <c r="T137" s="55"/>
      <c r="U137" s="46"/>
    </row>
    <row r="138" spans="1:21" s="8" customFormat="1" ht="25.5" x14ac:dyDescent="0.2">
      <c r="A138" s="54" t="s">
        <v>128</v>
      </c>
      <c r="B138" s="43"/>
      <c r="C138" s="43"/>
      <c r="D138" s="43"/>
      <c r="E138" s="43"/>
      <c r="F138" s="43"/>
      <c r="G138" s="44"/>
      <c r="H138" s="45"/>
      <c r="I138" s="58"/>
      <c r="J138" s="46"/>
      <c r="K138" s="43"/>
      <c r="L138" s="45"/>
      <c r="M138" s="58"/>
      <c r="N138" s="46"/>
      <c r="O138" s="43"/>
      <c r="P138" s="55"/>
      <c r="Q138" s="46"/>
      <c r="R138" s="43"/>
      <c r="S138" s="55"/>
      <c r="T138" s="55"/>
      <c r="U138" s="46"/>
    </row>
    <row r="139" spans="1:21" s="8" customFormat="1" x14ac:dyDescent="0.2">
      <c r="A139" s="50" t="s">
        <v>129</v>
      </c>
      <c r="B139" s="43"/>
      <c r="C139" s="43"/>
      <c r="D139" s="43">
        <v>0</v>
      </c>
      <c r="E139" s="43"/>
      <c r="F139" s="43"/>
      <c r="G139" s="44"/>
      <c r="H139" s="45"/>
      <c r="I139" s="58"/>
      <c r="J139" s="46"/>
      <c r="K139" s="43"/>
      <c r="L139" s="45"/>
      <c r="M139" s="58"/>
      <c r="N139" s="46"/>
      <c r="O139" s="43"/>
      <c r="P139" s="55"/>
      <c r="Q139" s="46"/>
      <c r="R139" s="43"/>
      <c r="S139" s="55"/>
      <c r="T139" s="55"/>
      <c r="U139" s="46"/>
    </row>
    <row r="140" spans="1:21" s="8" customFormat="1" x14ac:dyDescent="0.2">
      <c r="A140" s="50" t="s">
        <v>130</v>
      </c>
      <c r="B140" s="43"/>
      <c r="C140" s="43"/>
      <c r="D140" s="43">
        <v>24827.701499999999</v>
      </c>
      <c r="E140" s="43">
        <v>24827.701499999999</v>
      </c>
      <c r="F140" s="43"/>
      <c r="G140" s="44"/>
      <c r="H140" s="45"/>
      <c r="I140" s="58"/>
      <c r="J140" s="46"/>
      <c r="K140" s="43"/>
      <c r="L140" s="45"/>
      <c r="M140" s="58"/>
      <c r="N140" s="46"/>
      <c r="O140" s="43"/>
      <c r="P140" s="55"/>
      <c r="Q140" s="46"/>
      <c r="R140" s="43"/>
      <c r="S140" s="55"/>
      <c r="T140" s="55"/>
      <c r="U140" s="46"/>
    </row>
    <row r="141" spans="1:21" s="8" customFormat="1" x14ac:dyDescent="0.2">
      <c r="A141" s="50" t="s">
        <v>131</v>
      </c>
      <c r="B141" s="43"/>
      <c r="C141" s="43"/>
      <c r="D141" s="43">
        <v>27000</v>
      </c>
      <c r="E141" s="43"/>
      <c r="F141" s="43"/>
      <c r="G141" s="44"/>
      <c r="H141" s="45"/>
      <c r="I141" s="58"/>
      <c r="J141" s="46">
        <v>27000</v>
      </c>
      <c r="K141" s="43"/>
      <c r="L141" s="45"/>
      <c r="M141" s="58"/>
      <c r="N141" s="46"/>
      <c r="O141" s="43"/>
      <c r="P141" s="55"/>
      <c r="Q141" s="46"/>
      <c r="R141" s="43"/>
      <c r="S141" s="55"/>
      <c r="T141" s="55"/>
      <c r="U141" s="46"/>
    </row>
    <row r="142" spans="1:21" s="8" customFormat="1" x14ac:dyDescent="0.2">
      <c r="A142" s="50" t="s">
        <v>132</v>
      </c>
      <c r="B142" s="43"/>
      <c r="C142" s="43"/>
      <c r="D142" s="43">
        <v>0</v>
      </c>
      <c r="E142" s="43">
        <v>24350.584500000001</v>
      </c>
      <c r="F142" s="43"/>
      <c r="G142" s="44"/>
      <c r="H142" s="45"/>
      <c r="I142" s="58"/>
      <c r="J142" s="46"/>
      <c r="K142" s="43"/>
      <c r="L142" s="45"/>
      <c r="M142" s="58"/>
      <c r="N142" s="46"/>
      <c r="O142" s="43"/>
      <c r="P142" s="55"/>
      <c r="Q142" s="46"/>
      <c r="R142" s="43"/>
      <c r="S142" s="55"/>
      <c r="T142" s="55"/>
      <c r="U142" s="46"/>
    </row>
    <row r="143" spans="1:21" s="8" customFormat="1" x14ac:dyDescent="0.2">
      <c r="A143" s="50" t="s">
        <v>133</v>
      </c>
      <c r="B143" s="43"/>
      <c r="C143" s="43"/>
      <c r="D143" s="43">
        <v>10219.720499999999</v>
      </c>
      <c r="E143" s="43"/>
      <c r="F143" s="43"/>
      <c r="G143" s="44"/>
      <c r="H143" s="45"/>
      <c r="I143" s="58"/>
      <c r="J143" s="46">
        <v>10351</v>
      </c>
      <c r="K143" s="43"/>
      <c r="L143" s="45"/>
      <c r="M143" s="58"/>
      <c r="N143" s="46"/>
      <c r="O143" s="43"/>
      <c r="P143" s="55"/>
      <c r="Q143" s="46"/>
      <c r="R143" s="43"/>
      <c r="S143" s="55"/>
      <c r="T143" s="55"/>
      <c r="U143" s="46"/>
    </row>
    <row r="144" spans="1:21" s="8" customFormat="1" x14ac:dyDescent="0.2">
      <c r="A144" s="50" t="s">
        <v>134</v>
      </c>
      <c r="B144" s="43"/>
      <c r="C144" s="43"/>
      <c r="D144" s="43">
        <v>0</v>
      </c>
      <c r="E144" s="43"/>
      <c r="F144" s="43"/>
      <c r="G144" s="44"/>
      <c r="H144" s="45"/>
      <c r="I144" s="58">
        <v>20169</v>
      </c>
      <c r="J144" s="46">
        <v>20169</v>
      </c>
      <c r="K144" s="43"/>
      <c r="L144" s="45"/>
      <c r="M144" s="58"/>
      <c r="N144" s="46"/>
      <c r="O144" s="43"/>
      <c r="P144" s="55"/>
      <c r="Q144" s="46"/>
      <c r="R144" s="43"/>
      <c r="S144" s="55"/>
      <c r="T144" s="55"/>
      <c r="U144" s="46"/>
    </row>
    <row r="145" spans="1:21" s="8" customFormat="1" ht="38.25" x14ac:dyDescent="0.2">
      <c r="A145" s="54" t="s">
        <v>135</v>
      </c>
      <c r="B145" s="43"/>
      <c r="C145" s="43"/>
      <c r="D145" s="43"/>
      <c r="E145" s="43"/>
      <c r="F145" s="43"/>
      <c r="G145" s="44"/>
      <c r="H145" s="45"/>
      <c r="I145" s="58"/>
      <c r="J145" s="46"/>
      <c r="K145" s="43"/>
      <c r="L145" s="45"/>
      <c r="M145" s="58"/>
      <c r="N145" s="46"/>
      <c r="O145" s="43"/>
      <c r="P145" s="55"/>
      <c r="Q145" s="46"/>
      <c r="R145" s="43"/>
      <c r="S145" s="55"/>
      <c r="T145" s="55"/>
      <c r="U145" s="46"/>
    </row>
    <row r="146" spans="1:21" s="8" customFormat="1" x14ac:dyDescent="0.2">
      <c r="A146" s="50" t="s">
        <v>130</v>
      </c>
      <c r="B146" s="43"/>
      <c r="C146" s="43"/>
      <c r="D146" s="43">
        <v>2471.8014000000003</v>
      </c>
      <c r="E146" s="43"/>
      <c r="F146" s="43"/>
      <c r="G146" s="44"/>
      <c r="H146" s="45"/>
      <c r="I146" s="58">
        <v>5194.21</v>
      </c>
      <c r="J146" s="46">
        <v>7666</v>
      </c>
      <c r="K146" s="43"/>
      <c r="L146" s="45"/>
      <c r="M146" s="58"/>
      <c r="N146" s="46"/>
      <c r="O146" s="43"/>
      <c r="P146" s="55"/>
      <c r="Q146" s="46"/>
      <c r="R146" s="43"/>
      <c r="S146" s="55"/>
      <c r="T146" s="55"/>
      <c r="U146" s="46"/>
    </row>
    <row r="147" spans="1:21" s="8" customFormat="1" x14ac:dyDescent="0.2">
      <c r="A147" s="50" t="s">
        <v>131</v>
      </c>
      <c r="B147" s="43"/>
      <c r="C147" s="43"/>
      <c r="D147" s="43">
        <v>5671.7503100000004</v>
      </c>
      <c r="E147" s="43"/>
      <c r="F147" s="43"/>
      <c r="G147" s="44"/>
      <c r="H147" s="45"/>
      <c r="I147" s="58">
        <v>5562.25</v>
      </c>
      <c r="J147" s="46">
        <v>11234</v>
      </c>
      <c r="K147" s="43"/>
      <c r="L147" s="45"/>
      <c r="M147" s="58"/>
      <c r="N147" s="46"/>
      <c r="O147" s="43"/>
      <c r="P147" s="55"/>
      <c r="Q147" s="46"/>
      <c r="R147" s="43"/>
      <c r="S147" s="55"/>
      <c r="T147" s="55"/>
      <c r="U147" s="46"/>
    </row>
    <row r="148" spans="1:21" s="8" customFormat="1" x14ac:dyDescent="0.2">
      <c r="A148" s="50" t="s">
        <v>132</v>
      </c>
      <c r="B148" s="43"/>
      <c r="C148" s="43"/>
      <c r="D148" s="43">
        <v>6694.4742200000001</v>
      </c>
      <c r="E148" s="43">
        <v>1111.8689999999999</v>
      </c>
      <c r="F148" s="43"/>
      <c r="G148" s="44"/>
      <c r="H148" s="45"/>
      <c r="I148" s="58">
        <v>3739.5</v>
      </c>
      <c r="J148" s="46">
        <v>9432</v>
      </c>
      <c r="K148" s="43"/>
      <c r="L148" s="45"/>
      <c r="M148" s="58"/>
      <c r="N148" s="46"/>
      <c r="O148" s="43"/>
      <c r="P148" s="55"/>
      <c r="Q148" s="46"/>
      <c r="R148" s="43"/>
      <c r="S148" s="55"/>
      <c r="T148" s="55"/>
      <c r="U148" s="46"/>
    </row>
    <row r="149" spans="1:21" s="8" customFormat="1" x14ac:dyDescent="0.2">
      <c r="A149" s="50" t="s">
        <v>133</v>
      </c>
      <c r="B149" s="43"/>
      <c r="C149" s="43"/>
      <c r="D149" s="43">
        <v>59.442999999999998</v>
      </c>
      <c r="E149" s="43"/>
      <c r="F149" s="43"/>
      <c r="G149" s="44"/>
      <c r="H149" s="45"/>
      <c r="I149" s="58">
        <v>8361.56</v>
      </c>
      <c r="J149" s="46">
        <v>8421</v>
      </c>
      <c r="K149" s="43"/>
      <c r="L149" s="45"/>
      <c r="M149" s="58"/>
      <c r="N149" s="46"/>
      <c r="O149" s="43"/>
      <c r="P149" s="55"/>
      <c r="Q149" s="46"/>
      <c r="R149" s="43"/>
      <c r="S149" s="55"/>
      <c r="T149" s="55"/>
      <c r="U149" s="46"/>
    </row>
    <row r="150" spans="1:21" s="8" customFormat="1" x14ac:dyDescent="0.2">
      <c r="A150" s="50" t="s">
        <v>134</v>
      </c>
      <c r="B150" s="43"/>
      <c r="C150" s="43"/>
      <c r="D150" s="43">
        <v>0</v>
      </c>
      <c r="E150" s="43"/>
      <c r="F150" s="43"/>
      <c r="G150" s="44"/>
      <c r="H150" s="45"/>
      <c r="I150" s="58">
        <v>9873</v>
      </c>
      <c r="J150" s="46">
        <v>9873</v>
      </c>
      <c r="K150" s="43"/>
      <c r="L150" s="45"/>
      <c r="M150" s="58"/>
      <c r="N150" s="46"/>
      <c r="O150" s="43"/>
      <c r="P150" s="55"/>
      <c r="Q150" s="46"/>
      <c r="R150" s="43"/>
      <c r="S150" s="55"/>
      <c r="T150" s="55"/>
      <c r="U150" s="46"/>
    </row>
    <row r="151" spans="1:21" s="8" customFormat="1" ht="25.5" x14ac:dyDescent="0.2">
      <c r="A151" s="53" t="s">
        <v>136</v>
      </c>
      <c r="B151" s="43"/>
      <c r="C151" s="43"/>
      <c r="D151" s="43">
        <v>13583.414140000001</v>
      </c>
      <c r="E151" s="43"/>
      <c r="F151" s="43"/>
      <c r="G151" s="44"/>
      <c r="H151" s="45"/>
      <c r="I151" s="58">
        <f>3516.58-3516.58</f>
        <v>0</v>
      </c>
      <c r="J151" s="46">
        <f>17100-3516.58</f>
        <v>13583.42</v>
      </c>
      <c r="K151" s="43"/>
      <c r="L151" s="45"/>
      <c r="M151" s="58"/>
      <c r="N151" s="46"/>
      <c r="O151" s="43"/>
      <c r="P151" s="55"/>
      <c r="Q151" s="46"/>
      <c r="R151" s="43"/>
      <c r="S151" s="55"/>
      <c r="T151" s="55"/>
      <c r="U151" s="46"/>
    </row>
    <row r="152" spans="1:21" s="8" customFormat="1" ht="25.5" x14ac:dyDescent="0.2">
      <c r="A152" s="53" t="s">
        <v>153</v>
      </c>
      <c r="B152" s="43"/>
      <c r="C152" s="43"/>
      <c r="D152" s="43"/>
      <c r="E152" s="43"/>
      <c r="F152" s="43"/>
      <c r="G152" s="44"/>
      <c r="H152" s="45"/>
      <c r="I152" s="58">
        <v>5053.58</v>
      </c>
      <c r="J152" s="46"/>
      <c r="K152" s="43"/>
      <c r="L152" s="45"/>
      <c r="M152" s="58"/>
      <c r="N152" s="58">
        <v>5053.5730000000003</v>
      </c>
      <c r="O152" s="43"/>
      <c r="P152" s="55"/>
      <c r="Q152" s="46"/>
      <c r="R152" s="43"/>
      <c r="S152" s="55"/>
      <c r="T152" s="55"/>
      <c r="U152" s="46"/>
    </row>
    <row r="153" spans="1:21" s="8" customFormat="1" ht="25.5" x14ac:dyDescent="0.2">
      <c r="A153" s="53" t="s">
        <v>154</v>
      </c>
      <c r="B153" s="43"/>
      <c r="C153" s="43"/>
      <c r="D153" s="43"/>
      <c r="E153" s="43"/>
      <c r="F153" s="43"/>
      <c r="G153" s="44"/>
      <c r="H153" s="45"/>
      <c r="I153" s="58">
        <v>5071.6099999999997</v>
      </c>
      <c r="J153" s="46"/>
      <c r="K153" s="43"/>
      <c r="L153" s="45"/>
      <c r="M153" s="58"/>
      <c r="N153" s="58">
        <v>5071.6019999999999</v>
      </c>
      <c r="O153" s="43"/>
      <c r="P153" s="55"/>
      <c r="Q153" s="46"/>
      <c r="R153" s="43"/>
      <c r="S153" s="55"/>
      <c r="T153" s="55"/>
      <c r="U153" s="46"/>
    </row>
    <row r="154" spans="1:21" s="8" customFormat="1" ht="42.75" customHeight="1" x14ac:dyDescent="0.2">
      <c r="A154" s="100" t="s">
        <v>162</v>
      </c>
      <c r="B154" s="43"/>
      <c r="C154" s="43"/>
      <c r="D154" s="43"/>
      <c r="E154" s="43"/>
      <c r="F154" s="43"/>
      <c r="G154" s="44"/>
      <c r="H154" s="45"/>
      <c r="I154" s="58"/>
      <c r="J154" s="46"/>
      <c r="K154" s="43"/>
      <c r="L154" s="45"/>
      <c r="M154" s="96">
        <v>2307.08</v>
      </c>
      <c r="N154" s="58"/>
      <c r="O154" s="43"/>
      <c r="P154" s="55"/>
      <c r="Q154" s="96">
        <v>2307.08</v>
      </c>
      <c r="R154" s="43"/>
      <c r="S154" s="55"/>
      <c r="T154" s="55"/>
      <c r="U154" s="46"/>
    </row>
    <row r="155" spans="1:21" s="8" customFormat="1" ht="42.75" customHeight="1" x14ac:dyDescent="0.2">
      <c r="A155" s="100" t="s">
        <v>164</v>
      </c>
      <c r="B155" s="43"/>
      <c r="C155" s="43"/>
      <c r="D155" s="43"/>
      <c r="E155" s="43"/>
      <c r="F155" s="43"/>
      <c r="G155" s="44"/>
      <c r="H155" s="45"/>
      <c r="I155" s="58"/>
      <c r="J155" s="46"/>
      <c r="K155" s="43"/>
      <c r="L155" s="45"/>
      <c r="M155" s="96">
        <v>3969.08</v>
      </c>
      <c r="N155" s="58"/>
      <c r="O155" s="43"/>
      <c r="P155" s="55"/>
      <c r="Q155" s="96">
        <v>3969.08</v>
      </c>
      <c r="R155" s="43"/>
      <c r="S155" s="55"/>
      <c r="T155" s="55"/>
      <c r="U155" s="46"/>
    </row>
    <row r="156" spans="1:21" s="8" customFormat="1" ht="42.75" customHeight="1" x14ac:dyDescent="0.2">
      <c r="A156" s="100" t="s">
        <v>163</v>
      </c>
      <c r="B156" s="43"/>
      <c r="C156" s="43"/>
      <c r="D156" s="43"/>
      <c r="E156" s="43"/>
      <c r="F156" s="43"/>
      <c r="G156" s="44"/>
      <c r="H156" s="45"/>
      <c r="I156" s="58"/>
      <c r="J156" s="46"/>
      <c r="K156" s="43"/>
      <c r="L156" s="45"/>
      <c r="M156" s="96">
        <v>19490.73</v>
      </c>
      <c r="N156" s="58"/>
      <c r="O156" s="43"/>
      <c r="P156" s="55"/>
      <c r="Q156" s="96">
        <v>19490.73</v>
      </c>
      <c r="R156" s="43"/>
      <c r="S156" s="55"/>
      <c r="T156" s="55"/>
      <c r="U156" s="46"/>
    </row>
    <row r="157" spans="1:21" s="8" customFormat="1" x14ac:dyDescent="0.2">
      <c r="A157" s="17" t="s">
        <v>138</v>
      </c>
      <c r="B157" s="25">
        <f>SUM(B126:B156)</f>
        <v>0</v>
      </c>
      <c r="C157" s="25">
        <f t="shared" ref="C157:U157" si="10">SUM(C126:C156)</f>
        <v>0</v>
      </c>
      <c r="D157" s="25">
        <f>SUM(D126:D156)</f>
        <v>148609.02007999999</v>
      </c>
      <c r="E157" s="25">
        <f t="shared" si="10"/>
        <v>50290.154999999999</v>
      </c>
      <c r="F157" s="25">
        <f t="shared" si="10"/>
        <v>0</v>
      </c>
      <c r="G157" s="25">
        <f t="shared" si="10"/>
        <v>0</v>
      </c>
      <c r="H157" s="25">
        <f t="shared" si="10"/>
        <v>0</v>
      </c>
      <c r="I157" s="25">
        <f t="shared" si="10"/>
        <v>121634.25000000001</v>
      </c>
      <c r="J157" s="25">
        <f t="shared" si="10"/>
        <v>183036.73</v>
      </c>
      <c r="K157" s="25">
        <f t="shared" si="10"/>
        <v>0</v>
      </c>
      <c r="L157" s="25">
        <f t="shared" si="10"/>
        <v>0</v>
      </c>
      <c r="M157" s="25">
        <f t="shared" si="10"/>
        <v>25766.89</v>
      </c>
      <c r="N157" s="25">
        <f t="shared" si="10"/>
        <v>62662.595000000001</v>
      </c>
      <c r="O157" s="25">
        <f t="shared" si="10"/>
        <v>0</v>
      </c>
      <c r="P157" s="25">
        <f t="shared" si="10"/>
        <v>0</v>
      </c>
      <c r="Q157" s="25">
        <f>SUM(Q126:Q156)</f>
        <v>25766.89</v>
      </c>
      <c r="R157" s="25">
        <f t="shared" si="10"/>
        <v>0</v>
      </c>
      <c r="S157" s="25">
        <f t="shared" si="10"/>
        <v>0</v>
      </c>
      <c r="T157" s="25">
        <f t="shared" si="10"/>
        <v>0</v>
      </c>
      <c r="U157" s="25">
        <f t="shared" si="10"/>
        <v>0</v>
      </c>
    </row>
    <row r="158" spans="1:21" s="8" customFormat="1" x14ac:dyDescent="0.2">
      <c r="A158" s="2"/>
      <c r="B158" s="29"/>
      <c r="C158" s="29"/>
      <c r="D158" s="29"/>
      <c r="E158" s="29"/>
      <c r="F158" s="29"/>
      <c r="G158" s="3"/>
      <c r="H158" s="3"/>
      <c r="I158" s="3"/>
      <c r="J158" s="64"/>
      <c r="K158" s="29"/>
      <c r="L158" s="3"/>
      <c r="M158" s="3"/>
      <c r="N158" s="30"/>
      <c r="O158" s="29"/>
      <c r="P158" s="3"/>
      <c r="Q158" s="30"/>
      <c r="R158" s="29"/>
      <c r="S158" s="3"/>
      <c r="T158" s="3"/>
      <c r="U158" s="30"/>
    </row>
    <row r="159" spans="1:21" s="8" customFormat="1" ht="13.5" thickBot="1" x14ac:dyDescent="0.25">
      <c r="A159" s="13" t="s">
        <v>6</v>
      </c>
      <c r="B159" s="48">
        <v>0</v>
      </c>
      <c r="C159" s="48">
        <v>484254.09123000002</v>
      </c>
      <c r="D159" s="48">
        <f t="shared" ref="D159:U159" si="11">SUM(D157,D123,D121,D116,D113,D103,D62,D49,D34)</f>
        <v>460897.52007999999</v>
      </c>
      <c r="E159" s="48">
        <f t="shared" si="11"/>
        <v>382266.45500000002</v>
      </c>
      <c r="F159" s="48">
        <f t="shared" si="11"/>
        <v>199479.2</v>
      </c>
      <c r="G159" s="48">
        <f t="shared" si="11"/>
        <v>0</v>
      </c>
      <c r="H159" s="48">
        <f t="shared" si="11"/>
        <v>730240</v>
      </c>
      <c r="I159" s="48">
        <f t="shared" si="11"/>
        <v>809988.52</v>
      </c>
      <c r="J159" s="48">
        <f t="shared" si="11"/>
        <v>767303.78</v>
      </c>
      <c r="K159" s="48">
        <f t="shared" si="11"/>
        <v>0</v>
      </c>
      <c r="L159" s="48">
        <f t="shared" si="11"/>
        <v>1018249</v>
      </c>
      <c r="M159" s="48">
        <f t="shared" si="11"/>
        <v>945094.47</v>
      </c>
      <c r="N159" s="48">
        <f t="shared" si="11"/>
        <v>790900.58499999996</v>
      </c>
      <c r="O159" s="48">
        <f t="shared" si="11"/>
        <v>471228</v>
      </c>
      <c r="P159" s="48">
        <f t="shared" si="11"/>
        <v>806154</v>
      </c>
      <c r="Q159" s="48">
        <f t="shared" si="11"/>
        <v>1439281.8900000001</v>
      </c>
      <c r="R159" s="48">
        <f t="shared" si="11"/>
        <v>671044</v>
      </c>
      <c r="S159" s="48">
        <f t="shared" si="11"/>
        <v>0</v>
      </c>
      <c r="T159" s="48">
        <f t="shared" si="11"/>
        <v>0</v>
      </c>
      <c r="U159" s="48">
        <f t="shared" si="11"/>
        <v>125615</v>
      </c>
    </row>
    <row r="161" spans="1:9" x14ac:dyDescent="0.2">
      <c r="B161" s="4">
        <v>2019</v>
      </c>
      <c r="C161" s="4">
        <v>2020</v>
      </c>
      <c r="D161" s="4">
        <v>2021</v>
      </c>
      <c r="E161" s="4">
        <v>2022</v>
      </c>
      <c r="F161" s="4">
        <v>2023</v>
      </c>
      <c r="G161" s="4">
        <v>2024</v>
      </c>
      <c r="H161" s="4" t="s">
        <v>146</v>
      </c>
    </row>
    <row r="162" spans="1:9" x14ac:dyDescent="0.2">
      <c r="A162" s="49" t="s">
        <v>33</v>
      </c>
      <c r="B162" s="10"/>
      <c r="C162" s="10"/>
      <c r="D162" s="10">
        <f>F159</f>
        <v>199479.2</v>
      </c>
      <c r="E162" s="10"/>
      <c r="F162" s="10"/>
      <c r="G162" s="10"/>
      <c r="H162" s="10">
        <f>SUM(B162:G162)</f>
        <v>199479.2</v>
      </c>
    </row>
    <row r="163" spans="1:9" x14ac:dyDescent="0.2">
      <c r="A163" s="49" t="s">
        <v>152</v>
      </c>
      <c r="B163" s="10"/>
      <c r="C163" s="10"/>
      <c r="D163" s="10">
        <f>H159</f>
        <v>730240</v>
      </c>
      <c r="E163" s="10">
        <f>L159</f>
        <v>1018249</v>
      </c>
      <c r="F163" s="10">
        <f>O159</f>
        <v>471228</v>
      </c>
      <c r="G163" s="10">
        <f>R159</f>
        <v>671044</v>
      </c>
      <c r="H163" s="10">
        <f t="shared" ref="H163:H165" si="12">SUM(B163:G163)</f>
        <v>2890761</v>
      </c>
      <c r="I163" s="88">
        <f>H163-3000000</f>
        <v>-109239</v>
      </c>
    </row>
    <row r="164" spans="1:9" ht="13.5" thickBot="1" x14ac:dyDescent="0.25">
      <c r="A164" s="76"/>
      <c r="B164" s="77"/>
      <c r="C164" s="77"/>
      <c r="D164" s="77"/>
      <c r="E164" s="77"/>
      <c r="F164" s="77"/>
      <c r="G164" s="77"/>
      <c r="H164" s="77"/>
    </row>
    <row r="165" spans="1:9" x14ac:dyDescent="0.2">
      <c r="A165" s="78" t="s">
        <v>145</v>
      </c>
      <c r="B165" s="79">
        <f>C159</f>
        <v>484254.09123000002</v>
      </c>
      <c r="C165" s="79">
        <f>D159</f>
        <v>460897.52007999999</v>
      </c>
      <c r="D165" s="79">
        <f>G159+I159</f>
        <v>809988.52</v>
      </c>
      <c r="E165" s="79">
        <f>M159</f>
        <v>945094.47</v>
      </c>
      <c r="F165" s="79">
        <f>P159</f>
        <v>806154</v>
      </c>
      <c r="G165" s="79">
        <f>T159</f>
        <v>0</v>
      </c>
      <c r="H165" s="80">
        <f t="shared" si="12"/>
        <v>3506388.6013099998</v>
      </c>
    </row>
    <row r="166" spans="1:9" x14ac:dyDescent="0.2">
      <c r="A166" s="81" t="s">
        <v>141</v>
      </c>
      <c r="B166" s="10"/>
      <c r="C166" s="10">
        <f>E159</f>
        <v>382266.45500000002</v>
      </c>
      <c r="D166" s="10">
        <f>J159</f>
        <v>767303.78</v>
      </c>
      <c r="E166" s="10">
        <f>N159</f>
        <v>790900.58499999996</v>
      </c>
      <c r="F166" s="10">
        <f>Q159</f>
        <v>1439281.8900000001</v>
      </c>
      <c r="G166" s="10">
        <f>U159+S124</f>
        <v>125615</v>
      </c>
      <c r="H166" s="82">
        <f>SUM(B166:G166)</f>
        <v>3505367.71</v>
      </c>
      <c r="I166" s="14">
        <f>H165-H166</f>
        <v>1020.8913099998608</v>
      </c>
    </row>
    <row r="167" spans="1:9" ht="13.5" thickBot="1" x14ac:dyDescent="0.25">
      <c r="A167" s="83" t="s">
        <v>150</v>
      </c>
      <c r="B167" s="84"/>
      <c r="C167" s="85">
        <f>B165+C165-C166</f>
        <v>562885.15630999999</v>
      </c>
      <c r="D167" s="85">
        <f>C167+D165-D166</f>
        <v>605569.89630999998</v>
      </c>
      <c r="E167" s="85">
        <f>D167+E165-E166</f>
        <v>759763.78130999999</v>
      </c>
      <c r="F167" s="85">
        <f t="shared" ref="F167:G167" si="13">E167+F165-F166</f>
        <v>126635.89130999986</v>
      </c>
      <c r="G167" s="85">
        <f t="shared" si="13"/>
        <v>1020.8913099998608</v>
      </c>
      <c r="H167" s="86"/>
    </row>
  </sheetData>
  <autoFilter ref="A1:U116" xr:uid="{4ABA3BC3-8023-4B4C-A20D-DE4822BA870B}"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5">
    <mergeCell ref="A1:A2"/>
    <mergeCell ref="F1:J1"/>
    <mergeCell ref="K1:N1"/>
    <mergeCell ref="O1:Q1"/>
    <mergeCell ref="R1:U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63ECD-5B61-419E-8360-02760E2DF57A}">
  <sheetPr>
    <tabColor theme="0" tint="-0.14999847407452621"/>
  </sheetPr>
  <dimension ref="A1:V180"/>
  <sheetViews>
    <sheetView workbookViewId="0">
      <selection sqref="A1:A2"/>
    </sheetView>
  </sheetViews>
  <sheetFormatPr defaultColWidth="9.140625" defaultRowHeight="12.75" x14ac:dyDescent="0.2"/>
  <cols>
    <col min="1" max="1" width="52.42578125" style="4" customWidth="1"/>
    <col min="2" max="21" width="14.7109375" style="14" customWidth="1"/>
    <col min="22" max="22" width="12.7109375" style="4" customWidth="1"/>
    <col min="23" max="16384" width="9.140625" style="4"/>
  </cols>
  <sheetData>
    <row r="1" spans="1:22" ht="21" customHeight="1" x14ac:dyDescent="0.2">
      <c r="A1" s="372" t="s">
        <v>0</v>
      </c>
      <c r="B1" s="71">
        <v>2018</v>
      </c>
      <c r="C1" s="71" t="s">
        <v>149</v>
      </c>
      <c r="D1" s="71" t="s">
        <v>147</v>
      </c>
      <c r="E1" s="71" t="s">
        <v>148</v>
      </c>
      <c r="F1" s="374" t="s">
        <v>113</v>
      </c>
      <c r="G1" s="368"/>
      <c r="H1" s="368"/>
      <c r="I1" s="368"/>
      <c r="J1" s="375"/>
      <c r="K1" s="367" t="s">
        <v>114</v>
      </c>
      <c r="L1" s="370"/>
      <c r="M1" s="371"/>
      <c r="N1" s="369"/>
      <c r="O1" s="367" t="s">
        <v>115</v>
      </c>
      <c r="P1" s="368"/>
      <c r="Q1" s="369"/>
      <c r="R1" s="367" t="s">
        <v>116</v>
      </c>
      <c r="S1" s="368"/>
      <c r="T1" s="368"/>
      <c r="U1" s="369"/>
    </row>
    <row r="2" spans="1:22" ht="25.5" x14ac:dyDescent="0.2">
      <c r="A2" s="373"/>
      <c r="B2" s="21"/>
      <c r="C2" s="21"/>
      <c r="D2" s="21"/>
      <c r="E2" s="21"/>
      <c r="F2" s="21" t="s">
        <v>143</v>
      </c>
      <c r="G2" s="75" t="s">
        <v>36</v>
      </c>
      <c r="H2" s="5" t="s">
        <v>152</v>
      </c>
      <c r="I2" s="57" t="s">
        <v>139</v>
      </c>
      <c r="J2" s="22" t="s">
        <v>140</v>
      </c>
      <c r="K2" s="21" t="s">
        <v>143</v>
      </c>
      <c r="L2" s="5" t="s">
        <v>152</v>
      </c>
      <c r="M2" s="57" t="s">
        <v>139</v>
      </c>
      <c r="N2" s="22" t="s">
        <v>140</v>
      </c>
      <c r="O2" s="5" t="s">
        <v>152</v>
      </c>
      <c r="P2" s="57" t="s">
        <v>139</v>
      </c>
      <c r="Q2" s="22" t="s">
        <v>140</v>
      </c>
      <c r="R2" s="5" t="s">
        <v>152</v>
      </c>
      <c r="S2" s="75" t="s">
        <v>36</v>
      </c>
      <c r="T2" s="57" t="s">
        <v>139</v>
      </c>
      <c r="U2" s="22" t="s">
        <v>140</v>
      </c>
    </row>
    <row r="3" spans="1:22" s="37" customFormat="1" x14ac:dyDescent="0.2">
      <c r="A3" s="38" t="s">
        <v>94</v>
      </c>
      <c r="B3" s="43"/>
      <c r="C3" s="43"/>
      <c r="D3" s="43"/>
      <c r="E3" s="43"/>
      <c r="F3" s="43"/>
      <c r="G3" s="44"/>
      <c r="H3" s="45"/>
      <c r="I3" s="58">
        <v>43590</v>
      </c>
      <c r="J3" s="46"/>
      <c r="K3" s="43"/>
      <c r="L3" s="45"/>
      <c r="M3" s="45">
        <v>9800</v>
      </c>
      <c r="N3" s="46">
        <v>53390</v>
      </c>
      <c r="O3" s="43"/>
      <c r="P3" s="45"/>
      <c r="Q3" s="46"/>
      <c r="R3" s="43"/>
      <c r="S3" s="55"/>
      <c r="T3" s="55"/>
      <c r="U3" s="46"/>
      <c r="V3" s="101">
        <f>C3+D3+I3+M3+P3+T3-E3-J3-N3-Q3-U3</f>
        <v>0</v>
      </c>
    </row>
    <row r="4" spans="1:22" s="37" customFormat="1" x14ac:dyDescent="0.2">
      <c r="A4" s="38" t="s">
        <v>95</v>
      </c>
      <c r="B4" s="43"/>
      <c r="C4" s="43"/>
      <c r="D4" s="43"/>
      <c r="E4" s="43"/>
      <c r="F4" s="43"/>
      <c r="G4" s="44"/>
      <c r="H4" s="45"/>
      <c r="I4" s="58"/>
      <c r="J4" s="46"/>
      <c r="K4" s="43"/>
      <c r="L4" s="45"/>
      <c r="M4" s="45">
        <v>41615</v>
      </c>
      <c r="N4" s="46"/>
      <c r="O4" s="43"/>
      <c r="P4" s="45">
        <v>125000</v>
      </c>
      <c r="Q4" s="46">
        <v>41000</v>
      </c>
      <c r="R4" s="43"/>
      <c r="S4" s="55"/>
      <c r="T4" s="55"/>
      <c r="U4" s="46">
        <v>125615</v>
      </c>
      <c r="V4" s="101">
        <f>C4+D4+I4+M4+P4+T4-E4-J4-N4-Q4-U4</f>
        <v>0</v>
      </c>
    </row>
    <row r="5" spans="1:22" s="37" customFormat="1" ht="25.5" x14ac:dyDescent="0.2">
      <c r="A5" s="38" t="s">
        <v>96</v>
      </c>
      <c r="B5" s="43"/>
      <c r="C5" s="43"/>
      <c r="D5" s="43"/>
      <c r="E5" s="43"/>
      <c r="F5" s="43"/>
      <c r="G5" s="44"/>
      <c r="H5" s="45"/>
      <c r="I5" s="58">
        <v>0</v>
      </c>
      <c r="J5" s="46"/>
      <c r="K5" s="43"/>
      <c r="L5" s="45"/>
      <c r="M5" s="45">
        <v>61600</v>
      </c>
      <c r="N5" s="46">
        <v>0</v>
      </c>
      <c r="O5" s="43"/>
      <c r="P5" s="45"/>
      <c r="Q5" s="46">
        <v>61600</v>
      </c>
      <c r="R5" s="43"/>
      <c r="S5" s="55"/>
      <c r="T5" s="55"/>
      <c r="U5" s="46"/>
      <c r="V5" s="101">
        <f t="shared" ref="V5:V70" si="0">C5+D5+I5+M5+P5+T5-E5-J5-N5-Q5-U5</f>
        <v>0</v>
      </c>
    </row>
    <row r="6" spans="1:22" s="37" customFormat="1" x14ac:dyDescent="0.2">
      <c r="A6" s="38" t="s">
        <v>97</v>
      </c>
      <c r="B6" s="43"/>
      <c r="C6" s="43">
        <v>49967.695000000007</v>
      </c>
      <c r="D6" s="43"/>
      <c r="E6" s="43">
        <v>49812.41</v>
      </c>
      <c r="F6" s="43"/>
      <c r="G6" s="44"/>
      <c r="H6" s="45"/>
      <c r="I6" s="58"/>
      <c r="J6" s="46"/>
      <c r="K6" s="43"/>
      <c r="L6" s="45"/>
      <c r="M6" s="45"/>
      <c r="N6" s="46"/>
      <c r="O6" s="43"/>
      <c r="P6" s="45"/>
      <c r="Q6" s="46"/>
      <c r="R6" s="43"/>
      <c r="S6" s="55"/>
      <c r="T6" s="55"/>
      <c r="U6" s="46"/>
      <c r="V6" s="101">
        <f t="shared" si="0"/>
        <v>155.28500000000349</v>
      </c>
    </row>
    <row r="7" spans="1:22" s="37" customFormat="1" x14ac:dyDescent="0.2">
      <c r="A7" s="39" t="s">
        <v>37</v>
      </c>
      <c r="B7" s="43"/>
      <c r="C7" s="43"/>
      <c r="D7" s="43">
        <v>26008.13</v>
      </c>
      <c r="E7" s="43"/>
      <c r="F7" s="43"/>
      <c r="G7" s="44"/>
      <c r="H7" s="45"/>
      <c r="I7" s="58"/>
      <c r="J7" s="46">
        <v>25956.75</v>
      </c>
      <c r="K7" s="43"/>
      <c r="L7" s="45"/>
      <c r="M7" s="45"/>
      <c r="N7" s="46"/>
      <c r="O7" s="43"/>
      <c r="P7" s="45"/>
      <c r="Q7" s="46"/>
      <c r="R7" s="43"/>
      <c r="S7" s="55"/>
      <c r="T7" s="55"/>
      <c r="U7" s="46"/>
      <c r="V7" s="101">
        <f t="shared" si="0"/>
        <v>51.380000000001019</v>
      </c>
    </row>
    <row r="8" spans="1:22" s="37" customFormat="1" x14ac:dyDescent="0.2">
      <c r="A8" s="39" t="s">
        <v>39</v>
      </c>
      <c r="B8" s="43"/>
      <c r="C8" s="43">
        <v>28740.21488</v>
      </c>
      <c r="D8" s="43"/>
      <c r="E8" s="43">
        <v>28692.21</v>
      </c>
      <c r="F8" s="43"/>
      <c r="G8" s="44"/>
      <c r="H8" s="45"/>
      <c r="I8" s="58"/>
      <c r="J8" s="46"/>
      <c r="K8" s="43"/>
      <c r="L8" s="45"/>
      <c r="M8" s="45"/>
      <c r="N8" s="46"/>
      <c r="O8" s="43"/>
      <c r="P8" s="45"/>
      <c r="Q8" s="46"/>
      <c r="R8" s="43"/>
      <c r="S8" s="55"/>
      <c r="T8" s="55"/>
      <c r="U8" s="46"/>
      <c r="V8" s="101">
        <f t="shared" si="0"/>
        <v>48.004880000000412</v>
      </c>
    </row>
    <row r="9" spans="1:22" s="37" customFormat="1" x14ac:dyDescent="0.2">
      <c r="A9" s="39" t="s">
        <v>142</v>
      </c>
      <c r="B9" s="43"/>
      <c r="C9" s="43">
        <v>92990.592149999997</v>
      </c>
      <c r="D9" s="43">
        <v>35376.769999999997</v>
      </c>
      <c r="E9" s="43"/>
      <c r="F9" s="43"/>
      <c r="G9" s="44"/>
      <c r="H9" s="45"/>
      <c r="I9" s="58"/>
      <c r="J9" s="46">
        <v>128368</v>
      </c>
      <c r="K9" s="43"/>
      <c r="L9" s="45"/>
      <c r="M9" s="45"/>
      <c r="N9" s="46"/>
      <c r="O9" s="43"/>
      <c r="P9" s="45"/>
      <c r="Q9" s="46"/>
      <c r="R9" s="43"/>
      <c r="S9" s="55"/>
      <c r="T9" s="55"/>
      <c r="U9" s="46"/>
      <c r="V9" s="101">
        <f t="shared" si="0"/>
        <v>-0.63784999999916181</v>
      </c>
    </row>
    <row r="10" spans="1:22" s="37" customFormat="1" ht="25.5" x14ac:dyDescent="0.2">
      <c r="A10" s="39" t="s">
        <v>38</v>
      </c>
      <c r="B10" s="43"/>
      <c r="C10" s="43">
        <v>31682.355830000008</v>
      </c>
      <c r="D10" s="43">
        <v>33997.089999999997</v>
      </c>
      <c r="E10" s="43"/>
      <c r="F10" s="43"/>
      <c r="G10" s="44"/>
      <c r="H10" s="45"/>
      <c r="I10" s="58"/>
      <c r="J10" s="46">
        <v>65679.45</v>
      </c>
      <c r="K10" s="43"/>
      <c r="L10" s="45"/>
      <c r="M10" s="45"/>
      <c r="N10" s="46"/>
      <c r="O10" s="43"/>
      <c r="P10" s="45"/>
      <c r="Q10" s="46"/>
      <c r="R10" s="43"/>
      <c r="S10" s="55"/>
      <c r="T10" s="55"/>
      <c r="U10" s="46"/>
      <c r="V10" s="101">
        <f t="shared" si="0"/>
        <v>-4.1699999856064096E-3</v>
      </c>
    </row>
    <row r="11" spans="1:22" s="37" customFormat="1" ht="25.5" x14ac:dyDescent="0.2">
      <c r="A11" s="39" t="s">
        <v>40</v>
      </c>
      <c r="B11" s="43"/>
      <c r="C11" s="43">
        <v>61875.870090000004</v>
      </c>
      <c r="D11" s="43">
        <v>20356.8</v>
      </c>
      <c r="E11" s="43">
        <v>82232.67</v>
      </c>
      <c r="F11" s="43"/>
      <c r="G11" s="44"/>
      <c r="H11" s="45"/>
      <c r="I11" s="58"/>
      <c r="J11" s="46"/>
      <c r="K11" s="43"/>
      <c r="L11" s="45"/>
      <c r="M11" s="45"/>
      <c r="N11" s="46"/>
      <c r="O11" s="43"/>
      <c r="P11" s="45"/>
      <c r="Q11" s="46"/>
      <c r="R11" s="43"/>
      <c r="S11" s="55"/>
      <c r="T11" s="55"/>
      <c r="U11" s="46"/>
      <c r="V11" s="101">
        <f t="shared" si="0"/>
        <v>9.0000001364387572E-5</v>
      </c>
    </row>
    <row r="12" spans="1:22" s="37" customFormat="1" ht="25.5" x14ac:dyDescent="0.2">
      <c r="A12" s="39" t="s">
        <v>41</v>
      </c>
      <c r="B12" s="43"/>
      <c r="C12" s="43"/>
      <c r="D12" s="43">
        <v>190.46</v>
      </c>
      <c r="E12" s="43"/>
      <c r="F12" s="43"/>
      <c r="G12" s="44"/>
      <c r="H12" s="45"/>
      <c r="I12" s="58">
        <v>37759.83</v>
      </c>
      <c r="J12" s="46">
        <v>0</v>
      </c>
      <c r="K12" s="43"/>
      <c r="L12" s="45"/>
      <c r="M12" s="45">
        <v>5071</v>
      </c>
      <c r="N12" s="46">
        <v>43022</v>
      </c>
      <c r="O12" s="43"/>
      <c r="P12" s="45"/>
      <c r="Q12" s="46"/>
      <c r="R12" s="43"/>
      <c r="S12" s="55"/>
      <c r="T12" s="55"/>
      <c r="U12" s="46"/>
      <c r="V12" s="101">
        <f t="shared" si="0"/>
        <v>-0.70999999999912689</v>
      </c>
    </row>
    <row r="13" spans="1:22" s="37" customFormat="1" ht="25.5" x14ac:dyDescent="0.2">
      <c r="A13" s="39" t="s">
        <v>43</v>
      </c>
      <c r="B13" s="43"/>
      <c r="C13" s="43"/>
      <c r="D13" s="43"/>
      <c r="E13" s="43"/>
      <c r="F13" s="43"/>
      <c r="G13" s="44"/>
      <c r="H13" s="45"/>
      <c r="I13" s="58">
        <v>44419.3</v>
      </c>
      <c r="J13" s="46"/>
      <c r="K13" s="43"/>
      <c r="L13" s="45"/>
      <c r="M13" s="45">
        <v>28620</v>
      </c>
      <c r="N13" s="46">
        <v>73040</v>
      </c>
      <c r="O13" s="43"/>
      <c r="P13" s="45"/>
      <c r="Q13" s="46"/>
      <c r="R13" s="43"/>
      <c r="S13" s="55"/>
      <c r="T13" s="55"/>
      <c r="U13" s="46"/>
      <c r="V13" s="101">
        <f t="shared" si="0"/>
        <v>-0.69999999999708962</v>
      </c>
    </row>
    <row r="14" spans="1:22" s="37" customFormat="1" ht="25.5" x14ac:dyDescent="0.2">
      <c r="A14" s="39" t="s">
        <v>42</v>
      </c>
      <c r="B14" s="43"/>
      <c r="C14" s="43">
        <v>50463.757810000003</v>
      </c>
      <c r="D14" s="43"/>
      <c r="E14" s="43">
        <v>46106.89</v>
      </c>
      <c r="F14" s="43"/>
      <c r="G14" s="44"/>
      <c r="H14" s="45"/>
      <c r="I14" s="58"/>
      <c r="J14" s="46"/>
      <c r="K14" s="43"/>
      <c r="L14" s="45"/>
      <c r="M14" s="45"/>
      <c r="N14" s="46"/>
      <c r="O14" s="43"/>
      <c r="P14" s="45"/>
      <c r="Q14" s="46"/>
      <c r="R14" s="43"/>
      <c r="S14" s="55"/>
      <c r="T14" s="55"/>
      <c r="U14" s="46"/>
      <c r="V14" s="101">
        <f t="shared" si="0"/>
        <v>4356.8678100000034</v>
      </c>
    </row>
    <row r="15" spans="1:22" s="37" customFormat="1" x14ac:dyDescent="0.2">
      <c r="A15" s="39" t="s">
        <v>195</v>
      </c>
      <c r="B15" s="43"/>
      <c r="C15" s="43">
        <v>12</v>
      </c>
      <c r="D15" s="43"/>
      <c r="E15" s="43"/>
      <c r="F15" s="43"/>
      <c r="G15" s="44"/>
      <c r="H15" s="45"/>
      <c r="I15" s="58"/>
      <c r="J15" s="46"/>
      <c r="K15" s="43"/>
      <c r="L15" s="45"/>
      <c r="M15" s="45"/>
      <c r="N15" s="46"/>
      <c r="O15" s="43"/>
      <c r="P15" s="45"/>
      <c r="Q15" s="46"/>
      <c r="R15" s="43"/>
      <c r="S15" s="55"/>
      <c r="T15" s="55"/>
      <c r="U15" s="46"/>
      <c r="V15" s="101">
        <f t="shared" si="0"/>
        <v>12</v>
      </c>
    </row>
    <row r="16" spans="1:22" s="37" customFormat="1" x14ac:dyDescent="0.2">
      <c r="A16" s="39" t="s">
        <v>44</v>
      </c>
      <c r="B16" s="43"/>
      <c r="C16" s="43"/>
      <c r="D16" s="43"/>
      <c r="E16" s="43"/>
      <c r="F16" s="43"/>
      <c r="G16" s="44"/>
      <c r="H16" s="45"/>
      <c r="I16" s="58">
        <v>38810.980000000003</v>
      </c>
      <c r="J16" s="46">
        <v>38810.980000000003</v>
      </c>
      <c r="K16" s="43"/>
      <c r="L16" s="45"/>
      <c r="M16" s="45"/>
      <c r="N16" s="46"/>
      <c r="O16" s="43"/>
      <c r="P16" s="45"/>
      <c r="Q16" s="46"/>
      <c r="R16" s="43"/>
      <c r="S16" s="55"/>
      <c r="T16" s="55"/>
      <c r="U16" s="46"/>
      <c r="V16" s="101">
        <f t="shared" si="0"/>
        <v>0</v>
      </c>
    </row>
    <row r="17" spans="1:22" s="37" customFormat="1" x14ac:dyDescent="0.2">
      <c r="A17" s="39" t="s">
        <v>45</v>
      </c>
      <c r="B17" s="43"/>
      <c r="C17" s="43"/>
      <c r="D17" s="43">
        <v>27498.560000000001</v>
      </c>
      <c r="E17" s="43"/>
      <c r="F17" s="43"/>
      <c r="G17" s="44"/>
      <c r="H17" s="45"/>
      <c r="I17" s="58">
        <v>1265.94</v>
      </c>
      <c r="J17" s="46">
        <v>28764.5</v>
      </c>
      <c r="K17" s="43"/>
      <c r="L17" s="45"/>
      <c r="M17" s="45"/>
      <c r="N17" s="46"/>
      <c r="O17" s="43"/>
      <c r="P17" s="45"/>
      <c r="Q17" s="46"/>
      <c r="R17" s="43"/>
      <c r="S17" s="55"/>
      <c r="T17" s="55"/>
      <c r="U17" s="46"/>
      <c r="V17" s="101">
        <f t="shared" si="0"/>
        <v>0</v>
      </c>
    </row>
    <row r="18" spans="1:22" s="37" customFormat="1" ht="25.5" x14ac:dyDescent="0.2">
      <c r="A18" s="39" t="s">
        <v>46</v>
      </c>
      <c r="B18" s="43"/>
      <c r="C18" s="43"/>
      <c r="D18" s="43"/>
      <c r="E18" s="43"/>
      <c r="F18" s="43"/>
      <c r="G18" s="44"/>
      <c r="H18" s="45"/>
      <c r="I18" s="58"/>
      <c r="J18" s="46"/>
      <c r="K18" s="43"/>
      <c r="L18" s="45"/>
      <c r="M18" s="45"/>
      <c r="N18" s="46"/>
      <c r="O18" s="43"/>
      <c r="P18" s="45">
        <v>63270</v>
      </c>
      <c r="Q18" s="46">
        <v>63270</v>
      </c>
      <c r="R18" s="43"/>
      <c r="S18" s="55"/>
      <c r="T18" s="55"/>
      <c r="U18" s="46"/>
      <c r="V18" s="101">
        <f t="shared" si="0"/>
        <v>0</v>
      </c>
    </row>
    <row r="19" spans="1:22" s="37" customFormat="1" x14ac:dyDescent="0.2">
      <c r="A19" s="39" t="s">
        <v>47</v>
      </c>
      <c r="B19" s="43"/>
      <c r="C19" s="43"/>
      <c r="D19" s="43"/>
      <c r="E19" s="43"/>
      <c r="F19" s="43"/>
      <c r="G19" s="44"/>
      <c r="H19" s="45"/>
      <c r="I19" s="58">
        <v>38440.6</v>
      </c>
      <c r="J19" s="46"/>
      <c r="K19" s="43"/>
      <c r="L19" s="45"/>
      <c r="M19" s="45">
        <v>56838</v>
      </c>
      <c r="N19" s="46"/>
      <c r="O19" s="43"/>
      <c r="P19" s="45"/>
      <c r="Q19" s="46">
        <v>95278</v>
      </c>
      <c r="R19" s="43"/>
      <c r="S19" s="55"/>
      <c r="T19" s="55"/>
      <c r="U19" s="46"/>
      <c r="V19" s="101">
        <f t="shared" si="0"/>
        <v>0.60000000000582077</v>
      </c>
    </row>
    <row r="20" spans="1:22" s="37" customFormat="1" x14ac:dyDescent="0.2">
      <c r="A20" s="39" t="s">
        <v>48</v>
      </c>
      <c r="B20" s="43"/>
      <c r="C20" s="43"/>
      <c r="D20" s="43"/>
      <c r="E20" s="43"/>
      <c r="F20" s="43"/>
      <c r="G20" s="44"/>
      <c r="H20" s="45"/>
      <c r="I20" s="58"/>
      <c r="J20" s="46"/>
      <c r="K20" s="43"/>
      <c r="L20" s="45"/>
      <c r="M20" s="45">
        <v>34440</v>
      </c>
      <c r="N20" s="46">
        <v>0</v>
      </c>
      <c r="O20" s="43"/>
      <c r="P20" s="45"/>
      <c r="Q20" s="46">
        <v>34440</v>
      </c>
      <c r="R20" s="43"/>
      <c r="S20" s="55"/>
      <c r="T20" s="55"/>
      <c r="U20" s="46"/>
      <c r="V20" s="101">
        <f t="shared" si="0"/>
        <v>0</v>
      </c>
    </row>
    <row r="21" spans="1:22" s="37" customFormat="1" ht="25.5" x14ac:dyDescent="0.2">
      <c r="A21" s="39" t="s">
        <v>49</v>
      </c>
      <c r="B21" s="43"/>
      <c r="C21" s="43"/>
      <c r="D21" s="43"/>
      <c r="E21" s="43"/>
      <c r="F21" s="43"/>
      <c r="G21" s="44"/>
      <c r="H21" s="45"/>
      <c r="I21" s="58"/>
      <c r="J21" s="46"/>
      <c r="K21" s="43"/>
      <c r="L21" s="45"/>
      <c r="M21" s="45"/>
      <c r="N21" s="46"/>
      <c r="O21" s="43"/>
      <c r="P21" s="45">
        <v>45465</v>
      </c>
      <c r="Q21" s="46">
        <v>45465</v>
      </c>
      <c r="R21" s="43"/>
      <c r="S21" s="55"/>
      <c r="T21" s="55"/>
      <c r="U21" s="46"/>
      <c r="V21" s="101">
        <f t="shared" si="0"/>
        <v>0</v>
      </c>
    </row>
    <row r="22" spans="1:22" s="37" customFormat="1" ht="38.25" x14ac:dyDescent="0.2">
      <c r="A22" s="39" t="s">
        <v>50</v>
      </c>
      <c r="B22" s="43"/>
      <c r="C22" s="43"/>
      <c r="D22" s="43"/>
      <c r="E22" s="43"/>
      <c r="F22" s="43"/>
      <c r="G22" s="44"/>
      <c r="H22" s="45"/>
      <c r="I22" s="58"/>
      <c r="J22" s="46"/>
      <c r="K22" s="43"/>
      <c r="L22" s="45"/>
      <c r="M22" s="45"/>
      <c r="N22" s="46"/>
      <c r="O22" s="43"/>
      <c r="P22" s="45">
        <v>121800</v>
      </c>
      <c r="Q22" s="46">
        <v>121800</v>
      </c>
      <c r="R22" s="43"/>
      <c r="S22" s="55"/>
      <c r="T22" s="55"/>
      <c r="U22" s="46"/>
      <c r="V22" s="101">
        <f t="shared" si="0"/>
        <v>0</v>
      </c>
    </row>
    <row r="23" spans="1:22" s="37" customFormat="1" ht="25.5" x14ac:dyDescent="0.2">
      <c r="A23" s="39" t="s">
        <v>51</v>
      </c>
      <c r="B23" s="43"/>
      <c r="C23" s="43"/>
      <c r="D23" s="43"/>
      <c r="E23" s="43"/>
      <c r="F23" s="43"/>
      <c r="G23" s="44"/>
      <c r="H23" s="45"/>
      <c r="I23" s="58"/>
      <c r="J23" s="46"/>
      <c r="K23" s="43"/>
      <c r="L23" s="45"/>
      <c r="M23" s="45"/>
      <c r="N23" s="46"/>
      <c r="O23" s="43"/>
      <c r="P23" s="45">
        <v>45163</v>
      </c>
      <c r="Q23" s="46">
        <v>45163</v>
      </c>
      <c r="R23" s="43"/>
      <c r="S23" s="55"/>
      <c r="T23" s="55"/>
      <c r="U23" s="46"/>
      <c r="V23" s="101">
        <f t="shared" si="0"/>
        <v>0</v>
      </c>
    </row>
    <row r="24" spans="1:22" s="37" customFormat="1" ht="25.5" x14ac:dyDescent="0.2">
      <c r="A24" s="39" t="s">
        <v>52</v>
      </c>
      <c r="B24" s="43"/>
      <c r="C24" s="43"/>
      <c r="D24" s="43"/>
      <c r="E24" s="43"/>
      <c r="F24" s="43"/>
      <c r="G24" s="44"/>
      <c r="H24" s="45"/>
      <c r="I24" s="58">
        <v>0</v>
      </c>
      <c r="J24" s="46"/>
      <c r="K24" s="43"/>
      <c r="L24" s="45"/>
      <c r="M24" s="45"/>
      <c r="N24" s="46"/>
      <c r="O24" s="43"/>
      <c r="P24" s="45">
        <v>14720</v>
      </c>
      <c r="Q24" s="46">
        <v>14720</v>
      </c>
      <c r="R24" s="43"/>
      <c r="S24" s="55"/>
      <c r="T24" s="55"/>
      <c r="U24" s="46"/>
      <c r="V24" s="101">
        <f t="shared" si="0"/>
        <v>0</v>
      </c>
    </row>
    <row r="25" spans="1:22" s="37" customFormat="1" ht="25.5" x14ac:dyDescent="0.2">
      <c r="A25" s="39" t="s">
        <v>53</v>
      </c>
      <c r="B25" s="43"/>
      <c r="C25" s="43"/>
      <c r="D25" s="43"/>
      <c r="E25" s="43"/>
      <c r="F25" s="43"/>
      <c r="G25" s="44"/>
      <c r="H25" s="45"/>
      <c r="I25" s="58"/>
      <c r="J25" s="46"/>
      <c r="K25" s="43"/>
      <c r="L25" s="45"/>
      <c r="M25" s="45"/>
      <c r="N25" s="46"/>
      <c r="O25" s="43"/>
      <c r="P25" s="45">
        <v>13293</v>
      </c>
      <c r="Q25" s="46">
        <v>13293</v>
      </c>
      <c r="R25" s="43"/>
      <c r="S25" s="55"/>
      <c r="T25" s="55"/>
      <c r="U25" s="46"/>
      <c r="V25" s="101">
        <f t="shared" si="0"/>
        <v>0</v>
      </c>
    </row>
    <row r="26" spans="1:22" s="37" customFormat="1" ht="25.5" x14ac:dyDescent="0.2">
      <c r="A26" s="39" t="s">
        <v>54</v>
      </c>
      <c r="B26" s="43"/>
      <c r="C26" s="43"/>
      <c r="D26" s="43"/>
      <c r="E26" s="43"/>
      <c r="F26" s="43"/>
      <c r="G26" s="44"/>
      <c r="H26" s="45"/>
      <c r="I26" s="58"/>
      <c r="J26" s="46"/>
      <c r="K26" s="43"/>
      <c r="L26" s="45"/>
      <c r="M26" s="45">
        <v>109777</v>
      </c>
      <c r="N26" s="46"/>
      <c r="O26" s="43"/>
      <c r="P26" s="45">
        <v>0</v>
      </c>
      <c r="Q26" s="46">
        <v>109778</v>
      </c>
      <c r="R26" s="43"/>
      <c r="S26" s="55"/>
      <c r="T26" s="55"/>
      <c r="U26" s="46"/>
      <c r="V26" s="101">
        <f t="shared" si="0"/>
        <v>-1</v>
      </c>
    </row>
    <row r="27" spans="1:22" s="37" customFormat="1" ht="25.5" x14ac:dyDescent="0.2">
      <c r="A27" s="39" t="s">
        <v>55</v>
      </c>
      <c r="B27" s="43"/>
      <c r="C27" s="43"/>
      <c r="D27" s="43"/>
      <c r="E27" s="43"/>
      <c r="F27" s="43"/>
      <c r="G27" s="44"/>
      <c r="H27" s="45"/>
      <c r="I27" s="58">
        <v>42300</v>
      </c>
      <c r="J27" s="46"/>
      <c r="K27" s="43"/>
      <c r="L27" s="45"/>
      <c r="M27" s="45">
        <v>70091</v>
      </c>
      <c r="N27" s="46"/>
      <c r="O27" s="43"/>
      <c r="P27" s="45"/>
      <c r="Q27" s="46">
        <v>112391</v>
      </c>
      <c r="R27" s="43"/>
      <c r="S27" s="55"/>
      <c r="T27" s="55"/>
      <c r="U27" s="46"/>
      <c r="V27" s="101">
        <f t="shared" si="0"/>
        <v>0</v>
      </c>
    </row>
    <row r="28" spans="1:22" s="37" customFormat="1" ht="25.5" x14ac:dyDescent="0.2">
      <c r="A28" s="39" t="s">
        <v>56</v>
      </c>
      <c r="B28" s="43"/>
      <c r="C28" s="43"/>
      <c r="D28" s="43"/>
      <c r="E28" s="43"/>
      <c r="F28" s="43"/>
      <c r="G28" s="44"/>
      <c r="H28" s="45"/>
      <c r="I28" s="58"/>
      <c r="J28" s="46"/>
      <c r="K28" s="43"/>
      <c r="L28" s="45"/>
      <c r="M28" s="45"/>
      <c r="N28" s="46"/>
      <c r="O28" s="43"/>
      <c r="P28" s="45">
        <v>25800</v>
      </c>
      <c r="Q28" s="46">
        <v>25800</v>
      </c>
      <c r="R28" s="43"/>
      <c r="S28" s="55"/>
      <c r="T28" s="55"/>
      <c r="U28" s="46"/>
      <c r="V28" s="101">
        <f t="shared" si="0"/>
        <v>0</v>
      </c>
    </row>
    <row r="29" spans="1:22" s="37" customFormat="1" x14ac:dyDescent="0.2">
      <c r="A29" s="39" t="s">
        <v>57</v>
      </c>
      <c r="B29" s="43"/>
      <c r="C29" s="43"/>
      <c r="D29" s="43"/>
      <c r="E29" s="43"/>
      <c r="F29" s="43"/>
      <c r="G29" s="44"/>
      <c r="H29" s="45"/>
      <c r="I29" s="58">
        <v>0</v>
      </c>
      <c r="J29" s="46"/>
      <c r="K29" s="43"/>
      <c r="L29" s="45"/>
      <c r="M29" s="45">
        <v>102513</v>
      </c>
      <c r="N29" s="46"/>
      <c r="O29" s="43"/>
      <c r="P29" s="45">
        <v>0</v>
      </c>
      <c r="Q29" s="46">
        <v>102513</v>
      </c>
      <c r="R29" s="43"/>
      <c r="S29" s="55"/>
      <c r="T29" s="55"/>
      <c r="U29" s="46"/>
      <c r="V29" s="101">
        <f t="shared" si="0"/>
        <v>0</v>
      </c>
    </row>
    <row r="30" spans="1:22" s="37" customFormat="1" x14ac:dyDescent="0.2">
      <c r="A30" s="39" t="s">
        <v>58</v>
      </c>
      <c r="B30" s="43"/>
      <c r="C30" s="43"/>
      <c r="D30" s="43"/>
      <c r="E30" s="43"/>
      <c r="F30" s="43"/>
      <c r="G30" s="44"/>
      <c r="H30" s="45"/>
      <c r="I30" s="58">
        <v>3930</v>
      </c>
      <c r="J30" s="46"/>
      <c r="K30" s="43"/>
      <c r="L30" s="45"/>
      <c r="M30" s="45"/>
      <c r="N30" s="46">
        <v>3930</v>
      </c>
      <c r="O30" s="43"/>
      <c r="P30" s="45"/>
      <c r="Q30" s="46"/>
      <c r="R30" s="43"/>
      <c r="S30" s="55"/>
      <c r="T30" s="55"/>
      <c r="U30" s="46"/>
      <c r="V30" s="101">
        <f t="shared" si="0"/>
        <v>0</v>
      </c>
    </row>
    <row r="31" spans="1:22" s="37" customFormat="1" x14ac:dyDescent="0.2">
      <c r="A31" s="39" t="s">
        <v>59</v>
      </c>
      <c r="B31" s="43"/>
      <c r="C31" s="43"/>
      <c r="D31" s="43"/>
      <c r="E31" s="43"/>
      <c r="F31" s="43"/>
      <c r="G31" s="44"/>
      <c r="H31" s="45"/>
      <c r="I31" s="58">
        <v>3273</v>
      </c>
      <c r="J31" s="46"/>
      <c r="K31" s="43"/>
      <c r="L31" s="45"/>
      <c r="M31" s="45"/>
      <c r="N31" s="46">
        <v>3273</v>
      </c>
      <c r="O31" s="43"/>
      <c r="P31" s="45"/>
      <c r="Q31" s="46"/>
      <c r="R31" s="43"/>
      <c r="S31" s="55"/>
      <c r="T31" s="55"/>
      <c r="U31" s="46"/>
      <c r="V31" s="101">
        <f t="shared" si="0"/>
        <v>0</v>
      </c>
    </row>
    <row r="32" spans="1:22" s="37" customFormat="1" x14ac:dyDescent="0.2">
      <c r="A32" s="39" t="s">
        <v>60</v>
      </c>
      <c r="B32" s="43"/>
      <c r="C32" s="43"/>
      <c r="D32" s="43"/>
      <c r="E32" s="43"/>
      <c r="F32" s="43"/>
      <c r="G32" s="44"/>
      <c r="H32" s="45"/>
      <c r="I32" s="58">
        <v>1667</v>
      </c>
      <c r="J32" s="46"/>
      <c r="K32" s="43"/>
      <c r="L32" s="45"/>
      <c r="M32" s="45"/>
      <c r="N32" s="46">
        <v>1667</v>
      </c>
      <c r="O32" s="43"/>
      <c r="P32" s="45"/>
      <c r="Q32" s="46"/>
      <c r="R32" s="43"/>
      <c r="S32" s="55"/>
      <c r="T32" s="55"/>
      <c r="U32" s="46"/>
      <c r="V32" s="101">
        <f t="shared" si="0"/>
        <v>0</v>
      </c>
    </row>
    <row r="33" spans="1:22" ht="25.5" x14ac:dyDescent="0.2">
      <c r="A33" s="16" t="s">
        <v>26</v>
      </c>
      <c r="B33" s="23"/>
      <c r="C33" s="23"/>
      <c r="D33" s="23"/>
      <c r="E33" s="23"/>
      <c r="F33" s="23"/>
      <c r="G33" s="6"/>
      <c r="H33" s="104">
        <v>807</v>
      </c>
      <c r="I33" s="59"/>
      <c r="J33" s="24"/>
      <c r="K33" s="31"/>
      <c r="L33" s="105">
        <v>130993</v>
      </c>
      <c r="M33" s="7"/>
      <c r="N33" s="32"/>
      <c r="O33" s="23">
        <v>277178</v>
      </c>
      <c r="P33" s="7"/>
      <c r="Q33" s="24"/>
      <c r="R33" s="23"/>
      <c r="S33" s="56"/>
      <c r="T33" s="56"/>
      <c r="U33" s="24"/>
      <c r="V33" s="101">
        <f t="shared" si="0"/>
        <v>0</v>
      </c>
    </row>
    <row r="34" spans="1:22" ht="38.25" x14ac:dyDescent="0.2">
      <c r="A34" s="16" t="s">
        <v>25</v>
      </c>
      <c r="B34" s="23"/>
      <c r="C34" s="23"/>
      <c r="D34" s="23"/>
      <c r="E34" s="23"/>
      <c r="F34" s="23"/>
      <c r="G34" s="6"/>
      <c r="H34" s="104">
        <v>27298</v>
      </c>
      <c r="I34" s="59"/>
      <c r="J34" s="24"/>
      <c r="K34" s="31"/>
      <c r="L34" s="105">
        <v>29993</v>
      </c>
      <c r="M34" s="7"/>
      <c r="N34" s="32"/>
      <c r="O34" s="106">
        <v>64999</v>
      </c>
      <c r="P34" s="7"/>
      <c r="Q34" s="24"/>
      <c r="R34" s="106">
        <v>3710</v>
      </c>
      <c r="S34" s="56"/>
      <c r="T34" s="56"/>
      <c r="U34" s="24"/>
      <c r="V34" s="101">
        <f t="shared" si="0"/>
        <v>0</v>
      </c>
    </row>
    <row r="35" spans="1:22" s="8" customFormat="1" x14ac:dyDescent="0.2">
      <c r="A35" s="17" t="s">
        <v>31</v>
      </c>
      <c r="B35" s="25">
        <f t="shared" ref="B35:R35" si="1">SUM(B3:B34)</f>
        <v>0</v>
      </c>
      <c r="C35" s="25">
        <f t="shared" si="1"/>
        <v>315732.48576000001</v>
      </c>
      <c r="D35" s="25">
        <f t="shared" si="1"/>
        <v>143427.81</v>
      </c>
      <c r="E35" s="25">
        <f t="shared" si="1"/>
        <v>206844.18</v>
      </c>
      <c r="F35" s="25">
        <f t="shared" si="1"/>
        <v>0</v>
      </c>
      <c r="G35" s="1">
        <f t="shared" si="1"/>
        <v>0</v>
      </c>
      <c r="H35" s="1">
        <f t="shared" si="1"/>
        <v>28105</v>
      </c>
      <c r="I35" s="60">
        <f t="shared" si="1"/>
        <v>255456.65000000002</v>
      </c>
      <c r="J35" s="63">
        <f t="shared" si="1"/>
        <v>287579.68000000005</v>
      </c>
      <c r="K35" s="25">
        <f t="shared" si="1"/>
        <v>0</v>
      </c>
      <c r="L35" s="1">
        <f t="shared" si="1"/>
        <v>160986</v>
      </c>
      <c r="M35" s="1">
        <f t="shared" si="1"/>
        <v>520365</v>
      </c>
      <c r="N35" s="26">
        <f t="shared" si="1"/>
        <v>178322</v>
      </c>
      <c r="O35" s="25">
        <f t="shared" si="1"/>
        <v>342177</v>
      </c>
      <c r="P35" s="25">
        <f t="shared" si="1"/>
        <v>454511</v>
      </c>
      <c r="Q35" s="26">
        <f t="shared" si="1"/>
        <v>886511</v>
      </c>
      <c r="R35" s="25">
        <f t="shared" si="1"/>
        <v>3710</v>
      </c>
      <c r="S35" s="25"/>
      <c r="T35" s="25">
        <f>SUM(T3:T34)</f>
        <v>0</v>
      </c>
      <c r="U35" s="26">
        <f>SUM(U3:U34)</f>
        <v>125615</v>
      </c>
      <c r="V35" s="101">
        <f t="shared" si="0"/>
        <v>4621.0857600001618</v>
      </c>
    </row>
    <row r="36" spans="1:22" s="37" customFormat="1" ht="25.5" x14ac:dyDescent="0.2">
      <c r="A36" s="38" t="s">
        <v>101</v>
      </c>
      <c r="B36" s="43"/>
      <c r="C36" s="43"/>
      <c r="D36" s="43">
        <v>9288.98</v>
      </c>
      <c r="E36" s="43">
        <v>0</v>
      </c>
      <c r="F36" s="43"/>
      <c r="G36" s="44"/>
      <c r="H36" s="45"/>
      <c r="I36" s="58">
        <v>247.28</v>
      </c>
      <c r="J36" s="97">
        <v>8965</v>
      </c>
      <c r="K36" s="43"/>
      <c r="L36" s="45"/>
      <c r="M36" s="45"/>
      <c r="N36" s="46"/>
      <c r="O36" s="43"/>
      <c r="P36" s="55"/>
      <c r="Q36" s="46"/>
      <c r="R36" s="43"/>
      <c r="S36" s="55"/>
      <c r="T36" s="55"/>
      <c r="U36" s="46"/>
      <c r="V36" s="101">
        <f t="shared" si="0"/>
        <v>571.26000000000022</v>
      </c>
    </row>
    <row r="37" spans="1:22" s="37" customFormat="1" x14ac:dyDescent="0.2">
      <c r="A37" s="39" t="s">
        <v>61</v>
      </c>
      <c r="B37" s="43"/>
      <c r="C37" s="43">
        <v>9399.1217199999992</v>
      </c>
      <c r="D37" s="43">
        <v>3466.25</v>
      </c>
      <c r="E37" s="43"/>
      <c r="F37" s="43"/>
      <c r="G37" s="44"/>
      <c r="H37" s="45"/>
      <c r="I37" s="58">
        <v>5582.49</v>
      </c>
      <c r="J37" s="46">
        <v>18447.86</v>
      </c>
      <c r="K37" s="43"/>
      <c r="L37" s="45"/>
      <c r="M37" s="45"/>
      <c r="N37" s="46"/>
      <c r="O37" s="43"/>
      <c r="P37" s="55"/>
      <c r="Q37" s="46"/>
      <c r="R37" s="43"/>
      <c r="S37" s="55"/>
      <c r="T37" s="55"/>
      <c r="U37" s="46"/>
      <c r="V37" s="101">
        <f t="shared" si="0"/>
        <v>1.720000000204891E-3</v>
      </c>
    </row>
    <row r="38" spans="1:22" s="37" customFormat="1" x14ac:dyDescent="0.2">
      <c r="A38" s="39" t="s">
        <v>62</v>
      </c>
      <c r="B38" s="43"/>
      <c r="C38" s="43">
        <v>14752.691030000002</v>
      </c>
      <c r="D38" s="43">
        <v>8810.76</v>
      </c>
      <c r="E38" s="43">
        <v>289.41000000000003</v>
      </c>
      <c r="F38" s="43"/>
      <c r="G38" s="44"/>
      <c r="H38" s="45"/>
      <c r="I38" s="58"/>
      <c r="J38" s="46">
        <v>23274.1</v>
      </c>
      <c r="K38" s="43"/>
      <c r="L38" s="45"/>
      <c r="M38" s="45"/>
      <c r="N38" s="46"/>
      <c r="O38" s="43"/>
      <c r="P38" s="55"/>
      <c r="Q38" s="46"/>
      <c r="R38" s="43"/>
      <c r="S38" s="55"/>
      <c r="T38" s="55"/>
      <c r="U38" s="46"/>
      <c r="V38" s="101">
        <f t="shared" si="0"/>
        <v>-5.8969999994587852E-2</v>
      </c>
    </row>
    <row r="39" spans="1:22" s="37" customFormat="1" x14ac:dyDescent="0.2">
      <c r="A39" s="39" t="s">
        <v>63</v>
      </c>
      <c r="B39" s="43"/>
      <c r="C39" s="43">
        <v>21763.88624</v>
      </c>
      <c r="D39" s="43"/>
      <c r="E39" s="43">
        <v>21763.89</v>
      </c>
      <c r="F39" s="43"/>
      <c r="G39" s="44"/>
      <c r="H39" s="45"/>
      <c r="I39" s="58"/>
      <c r="J39" s="46"/>
      <c r="K39" s="43"/>
      <c r="L39" s="45"/>
      <c r="M39" s="45"/>
      <c r="N39" s="46"/>
      <c r="O39" s="43"/>
      <c r="P39" s="55"/>
      <c r="Q39" s="46"/>
      <c r="R39" s="43"/>
      <c r="S39" s="55"/>
      <c r="T39" s="55"/>
      <c r="U39" s="46"/>
      <c r="V39" s="101">
        <f t="shared" si="0"/>
        <v>-3.7599999996018596E-3</v>
      </c>
    </row>
    <row r="40" spans="1:22" s="37" customFormat="1" ht="25.5" x14ac:dyDescent="0.2">
      <c r="A40" s="39" t="s">
        <v>64</v>
      </c>
      <c r="B40" s="43"/>
      <c r="C40" s="43">
        <v>53656.974830000006</v>
      </c>
      <c r="D40" s="43">
        <v>22429.23</v>
      </c>
      <c r="E40" s="43">
        <v>76086.210000000006</v>
      </c>
      <c r="F40" s="43"/>
      <c r="G40" s="44"/>
      <c r="H40" s="45"/>
      <c r="I40" s="58"/>
      <c r="J40" s="46"/>
      <c r="K40" s="43"/>
      <c r="L40" s="45"/>
      <c r="M40" s="45"/>
      <c r="N40" s="46"/>
      <c r="O40" s="43"/>
      <c r="P40" s="55"/>
      <c r="Q40" s="46"/>
      <c r="R40" s="43"/>
      <c r="S40" s="55"/>
      <c r="T40" s="55"/>
      <c r="U40" s="46"/>
      <c r="V40" s="101">
        <f t="shared" si="0"/>
        <v>-5.1700000040000305E-3</v>
      </c>
    </row>
    <row r="41" spans="1:22" s="37" customFormat="1" x14ac:dyDescent="0.2">
      <c r="A41" s="39" t="s">
        <v>65</v>
      </c>
      <c r="B41" s="43"/>
      <c r="C41" s="43">
        <v>18168.2389</v>
      </c>
      <c r="D41" s="43">
        <v>64478.93</v>
      </c>
      <c r="E41" s="43"/>
      <c r="F41" s="43"/>
      <c r="G41" s="44">
        <v>13.86</v>
      </c>
      <c r="H41" s="45"/>
      <c r="I41" s="58">
        <f>15683+2177.01</f>
        <v>17860.010000000002</v>
      </c>
      <c r="J41" s="46">
        <v>100507.18</v>
      </c>
      <c r="K41" s="43"/>
      <c r="L41" s="45"/>
      <c r="M41" s="45"/>
      <c r="N41" s="46"/>
      <c r="O41" s="43"/>
      <c r="P41" s="55"/>
      <c r="Q41" s="46"/>
      <c r="R41" s="43"/>
      <c r="S41" s="55"/>
      <c r="T41" s="55"/>
      <c r="U41" s="46"/>
      <c r="V41" s="101">
        <f t="shared" si="0"/>
        <v>-1.0999999940395355E-3</v>
      </c>
    </row>
    <row r="42" spans="1:22" s="37" customFormat="1" x14ac:dyDescent="0.2">
      <c r="A42" s="39" t="s">
        <v>66</v>
      </c>
      <c r="B42" s="43"/>
      <c r="C42" s="43"/>
      <c r="D42" s="43"/>
      <c r="E42" s="43"/>
      <c r="F42" s="43"/>
      <c r="G42" s="44"/>
      <c r="H42" s="45"/>
      <c r="I42" s="58"/>
      <c r="J42" s="46"/>
      <c r="K42" s="43"/>
      <c r="L42" s="45"/>
      <c r="M42" s="45"/>
      <c r="N42" s="46"/>
      <c r="O42" s="43"/>
      <c r="P42" s="55"/>
      <c r="Q42" s="46"/>
      <c r="R42" s="43"/>
      <c r="S42" s="55"/>
      <c r="T42" s="55"/>
      <c r="U42" s="46"/>
      <c r="V42" s="101">
        <f t="shared" si="0"/>
        <v>0</v>
      </c>
    </row>
    <row r="43" spans="1:22" s="37" customFormat="1" x14ac:dyDescent="0.2">
      <c r="A43" s="39" t="s">
        <v>67</v>
      </c>
      <c r="B43" s="43"/>
      <c r="C43" s="43"/>
      <c r="D43" s="43"/>
      <c r="E43" s="43"/>
      <c r="F43" s="43"/>
      <c r="G43" s="44"/>
      <c r="H43" s="45"/>
      <c r="I43" s="58"/>
      <c r="J43" s="46"/>
      <c r="K43" s="43"/>
      <c r="L43" s="45"/>
      <c r="M43" s="45">
        <v>16540</v>
      </c>
      <c r="N43" s="46">
        <v>0</v>
      </c>
      <c r="O43" s="43"/>
      <c r="P43" s="55"/>
      <c r="Q43" s="46">
        <v>16540</v>
      </c>
      <c r="R43" s="43"/>
      <c r="S43" s="55"/>
      <c r="T43" s="55"/>
      <c r="U43" s="46"/>
      <c r="V43" s="101">
        <f t="shared" si="0"/>
        <v>0</v>
      </c>
    </row>
    <row r="44" spans="1:22" s="37" customFormat="1" ht="25.5" x14ac:dyDescent="0.2">
      <c r="A44" s="39" t="s">
        <v>68</v>
      </c>
      <c r="B44" s="43"/>
      <c r="C44" s="43"/>
      <c r="D44" s="43">
        <v>1576.58</v>
      </c>
      <c r="E44" s="43"/>
      <c r="F44" s="43"/>
      <c r="G44" s="44">
        <v>78.94</v>
      </c>
      <c r="H44" s="45"/>
      <c r="I44" s="58">
        <v>25165.53</v>
      </c>
      <c r="J44" s="46"/>
      <c r="K44" s="43"/>
      <c r="L44" s="45"/>
      <c r="M44" s="45">
        <v>9848.58</v>
      </c>
      <c r="N44" s="46">
        <v>37011</v>
      </c>
      <c r="O44" s="43"/>
      <c r="P44" s="55"/>
      <c r="Q44" s="46"/>
      <c r="R44" s="43"/>
      <c r="S44" s="55"/>
      <c r="T44" s="55"/>
      <c r="U44" s="46"/>
      <c r="V44" s="101">
        <f t="shared" si="0"/>
        <v>-420.30999999999767</v>
      </c>
    </row>
    <row r="45" spans="1:22" x14ac:dyDescent="0.2">
      <c r="A45" s="110" t="s">
        <v>5</v>
      </c>
      <c r="B45" s="27"/>
      <c r="C45" s="27"/>
      <c r="D45" s="27"/>
      <c r="E45" s="27"/>
      <c r="F45" s="27">
        <v>37193.040000000001</v>
      </c>
      <c r="G45" s="11"/>
      <c r="H45" s="111"/>
      <c r="I45" s="61"/>
      <c r="J45" s="28"/>
      <c r="K45" s="47"/>
      <c r="L45" s="111"/>
      <c r="M45" s="12"/>
      <c r="N45" s="33"/>
      <c r="O45" s="36"/>
      <c r="P45" s="65"/>
      <c r="Q45" s="33"/>
      <c r="R45" s="43"/>
      <c r="S45" s="55"/>
      <c r="T45" s="55"/>
      <c r="U45" s="46"/>
      <c r="V45" s="101">
        <f t="shared" si="0"/>
        <v>0</v>
      </c>
    </row>
    <row r="46" spans="1:22" x14ac:dyDescent="0.2">
      <c r="A46" s="16" t="s">
        <v>2</v>
      </c>
      <c r="B46" s="23"/>
      <c r="C46" s="23"/>
      <c r="D46" s="23"/>
      <c r="E46" s="23"/>
      <c r="F46" s="23">
        <v>71.91</v>
      </c>
      <c r="G46" s="6"/>
      <c r="H46" s="6">
        <v>2760</v>
      </c>
      <c r="I46" s="59"/>
      <c r="J46" s="24"/>
      <c r="K46" s="47"/>
      <c r="L46" s="9">
        <v>9940</v>
      </c>
      <c r="M46" s="9"/>
      <c r="N46" s="34"/>
      <c r="O46" s="23">
        <v>60448</v>
      </c>
      <c r="P46" s="56"/>
      <c r="Q46" s="24"/>
      <c r="R46" s="23">
        <v>220000</v>
      </c>
      <c r="S46" s="56"/>
      <c r="T46" s="56"/>
      <c r="U46" s="24"/>
      <c r="V46" s="101">
        <f t="shared" si="0"/>
        <v>0</v>
      </c>
    </row>
    <row r="47" spans="1:22" x14ac:dyDescent="0.2">
      <c r="A47" s="16" t="s">
        <v>3</v>
      </c>
      <c r="B47" s="23"/>
      <c r="C47" s="23"/>
      <c r="D47" s="23"/>
      <c r="E47" s="23"/>
      <c r="F47" s="23"/>
      <c r="G47" s="6"/>
      <c r="H47" s="104">
        <v>22000</v>
      </c>
      <c r="I47" s="59"/>
      <c r="J47" s="24"/>
      <c r="K47" s="47"/>
      <c r="L47" s="105">
        <v>13215</v>
      </c>
      <c r="M47" s="7"/>
      <c r="N47" s="32"/>
      <c r="O47" s="23"/>
      <c r="P47" s="56"/>
      <c r="Q47" s="24"/>
      <c r="R47" s="23"/>
      <c r="S47" s="56"/>
      <c r="T47" s="56"/>
      <c r="U47" s="24"/>
      <c r="V47" s="101">
        <f t="shared" si="0"/>
        <v>0</v>
      </c>
    </row>
    <row r="48" spans="1:22" x14ac:dyDescent="0.2">
      <c r="A48" s="16" t="s">
        <v>1</v>
      </c>
      <c r="B48" s="23"/>
      <c r="C48" s="23"/>
      <c r="D48" s="23"/>
      <c r="E48" s="23"/>
      <c r="F48" s="23"/>
      <c r="G48" s="6"/>
      <c r="H48" s="6"/>
      <c r="I48" s="59"/>
      <c r="J48" s="24"/>
      <c r="K48" s="35"/>
      <c r="L48" s="7"/>
      <c r="M48" s="7"/>
      <c r="N48" s="32"/>
      <c r="O48" s="23">
        <v>30000</v>
      </c>
      <c r="P48" s="56"/>
      <c r="Q48" s="24"/>
      <c r="R48" s="23">
        <v>65000</v>
      </c>
      <c r="S48" s="56"/>
      <c r="T48" s="56"/>
      <c r="U48" s="24"/>
      <c r="V48" s="101">
        <f t="shared" si="0"/>
        <v>0</v>
      </c>
    </row>
    <row r="49" spans="1:22" x14ac:dyDescent="0.2">
      <c r="A49" s="16" t="s">
        <v>4</v>
      </c>
      <c r="B49" s="23"/>
      <c r="C49" s="23"/>
      <c r="D49" s="23"/>
      <c r="E49" s="23"/>
      <c r="F49" s="23"/>
      <c r="G49" s="6"/>
      <c r="H49" s="104">
        <v>25000</v>
      </c>
      <c r="I49" s="59"/>
      <c r="J49" s="24"/>
      <c r="K49" s="47"/>
      <c r="L49" s="105">
        <v>70000</v>
      </c>
      <c r="M49" s="7"/>
      <c r="N49" s="32"/>
      <c r="O49" s="23"/>
      <c r="P49" s="56"/>
      <c r="Q49" s="24"/>
      <c r="R49" s="23"/>
      <c r="S49" s="56"/>
      <c r="T49" s="56"/>
      <c r="U49" s="24"/>
      <c r="V49" s="101">
        <f t="shared" si="0"/>
        <v>0</v>
      </c>
    </row>
    <row r="50" spans="1:22" s="8" customFormat="1" x14ac:dyDescent="0.2">
      <c r="A50" s="17" t="s">
        <v>27</v>
      </c>
      <c r="B50" s="25">
        <f t="shared" ref="B50:R50" si="2">SUM(B36:B49)</f>
        <v>0</v>
      </c>
      <c r="C50" s="25">
        <f t="shared" si="2"/>
        <v>117740.91272000001</v>
      </c>
      <c r="D50" s="25">
        <f t="shared" si="2"/>
        <v>110050.73</v>
      </c>
      <c r="E50" s="25">
        <f t="shared" si="2"/>
        <v>98139.510000000009</v>
      </c>
      <c r="F50" s="25">
        <f t="shared" si="2"/>
        <v>37264.950000000004</v>
      </c>
      <c r="G50" s="1">
        <f t="shared" si="2"/>
        <v>92.8</v>
      </c>
      <c r="H50" s="1">
        <f t="shared" si="2"/>
        <v>49760</v>
      </c>
      <c r="I50" s="60">
        <f t="shared" si="2"/>
        <v>48855.31</v>
      </c>
      <c r="J50" s="63">
        <f t="shared" si="2"/>
        <v>151194.13999999998</v>
      </c>
      <c r="K50" s="25">
        <f t="shared" si="2"/>
        <v>0</v>
      </c>
      <c r="L50" s="1">
        <f t="shared" si="2"/>
        <v>93155</v>
      </c>
      <c r="M50" s="1">
        <f t="shared" si="2"/>
        <v>26388.58</v>
      </c>
      <c r="N50" s="26">
        <f t="shared" si="2"/>
        <v>37011</v>
      </c>
      <c r="O50" s="25">
        <f t="shared" si="2"/>
        <v>90448</v>
      </c>
      <c r="P50" s="15">
        <f t="shared" si="2"/>
        <v>0</v>
      </c>
      <c r="Q50" s="26">
        <f t="shared" si="2"/>
        <v>16540</v>
      </c>
      <c r="R50" s="25">
        <f t="shared" si="2"/>
        <v>285000</v>
      </c>
      <c r="S50" s="15"/>
      <c r="T50" s="15">
        <f>SUM(T36:T49)</f>
        <v>0</v>
      </c>
      <c r="U50" s="26">
        <f>SUM(U36:U49)</f>
        <v>0</v>
      </c>
      <c r="V50" s="101">
        <f t="shared" si="0"/>
        <v>150.88272000002326</v>
      </c>
    </row>
    <row r="51" spans="1:22" s="37" customFormat="1" ht="25.5" x14ac:dyDescent="0.2">
      <c r="A51" s="40" t="s">
        <v>69</v>
      </c>
      <c r="B51" s="43"/>
      <c r="C51" s="43"/>
      <c r="D51" s="43">
        <v>12148.69</v>
      </c>
      <c r="E51" s="43"/>
      <c r="F51" s="43"/>
      <c r="G51" s="44">
        <v>258.8</v>
      </c>
      <c r="H51" s="45"/>
      <c r="I51" s="58">
        <f>10049+2355.75</f>
        <v>12404.75</v>
      </c>
      <c r="J51" s="46"/>
      <c r="K51" s="43"/>
      <c r="L51" s="45"/>
      <c r="M51" s="45"/>
      <c r="N51" s="46">
        <v>24554</v>
      </c>
      <c r="O51" s="43"/>
      <c r="P51" s="55"/>
      <c r="Q51" s="46"/>
      <c r="R51" s="43"/>
      <c r="S51" s="55"/>
      <c r="T51" s="55"/>
      <c r="U51" s="46"/>
      <c r="V51" s="101">
        <f t="shared" si="0"/>
        <v>-0.55999999999767169</v>
      </c>
    </row>
    <row r="52" spans="1:22" s="37" customFormat="1" x14ac:dyDescent="0.2">
      <c r="A52" s="40" t="s">
        <v>70</v>
      </c>
      <c r="B52" s="43"/>
      <c r="C52" s="43"/>
      <c r="D52" s="43">
        <v>5289.39</v>
      </c>
      <c r="E52" s="43"/>
      <c r="F52" s="43"/>
      <c r="G52" s="44">
        <v>94.01</v>
      </c>
      <c r="H52" s="45"/>
      <c r="I52" s="58">
        <f>6604+1011.92</f>
        <v>7615.92</v>
      </c>
      <c r="J52" s="46"/>
      <c r="K52" s="43"/>
      <c r="L52" s="45"/>
      <c r="M52" s="45"/>
      <c r="N52" s="46">
        <v>12906</v>
      </c>
      <c r="O52" s="43"/>
      <c r="P52" s="55"/>
      <c r="Q52" s="46"/>
      <c r="R52" s="43"/>
      <c r="S52" s="55"/>
      <c r="T52" s="55"/>
      <c r="U52" s="46"/>
      <c r="V52" s="101">
        <f t="shared" si="0"/>
        <v>-0.68999999999869033</v>
      </c>
    </row>
    <row r="53" spans="1:22" s="37" customFormat="1" ht="25.5" x14ac:dyDescent="0.2">
      <c r="A53" s="40" t="s">
        <v>71</v>
      </c>
      <c r="B53" s="43"/>
      <c r="C53" s="43"/>
      <c r="D53" s="43">
        <v>9693.66</v>
      </c>
      <c r="E53" s="43"/>
      <c r="F53" s="43"/>
      <c r="G53" s="44">
        <v>223.25</v>
      </c>
      <c r="H53" s="45"/>
      <c r="I53" s="58">
        <f>9172+2111.11</f>
        <v>11283.11</v>
      </c>
      <c r="J53" s="46"/>
      <c r="K53" s="43"/>
      <c r="L53" s="45"/>
      <c r="M53" s="45"/>
      <c r="N53" s="46">
        <v>20977</v>
      </c>
      <c r="O53" s="43"/>
      <c r="P53" s="55"/>
      <c r="Q53" s="46"/>
      <c r="R53" s="43"/>
      <c r="S53" s="55"/>
      <c r="T53" s="55"/>
      <c r="U53" s="46"/>
      <c r="V53" s="101">
        <f t="shared" si="0"/>
        <v>-0.22999999999956344</v>
      </c>
    </row>
    <row r="54" spans="1:22" s="37" customFormat="1" ht="25.5" x14ac:dyDescent="0.2">
      <c r="A54" s="40" t="s">
        <v>72</v>
      </c>
      <c r="B54" s="43"/>
      <c r="C54" s="43"/>
      <c r="D54" s="43"/>
      <c r="E54" s="43"/>
      <c r="F54" s="43"/>
      <c r="G54" s="44"/>
      <c r="H54" s="45"/>
      <c r="I54" s="58">
        <v>12830.33</v>
      </c>
      <c r="J54" s="46"/>
      <c r="K54" s="43"/>
      <c r="L54" s="45"/>
      <c r="M54" s="45">
        <v>18658</v>
      </c>
      <c r="N54" s="46"/>
      <c r="O54" s="43"/>
      <c r="P54" s="55"/>
      <c r="Q54" s="46">
        <v>31488</v>
      </c>
      <c r="R54" s="43"/>
      <c r="S54" s="55"/>
      <c r="T54" s="55"/>
      <c r="U54" s="46"/>
      <c r="V54" s="101">
        <f t="shared" si="0"/>
        <v>0.33000000000174623</v>
      </c>
    </row>
    <row r="55" spans="1:22" s="37" customFormat="1" x14ac:dyDescent="0.2">
      <c r="A55" s="40" t="s">
        <v>73</v>
      </c>
      <c r="B55" s="43"/>
      <c r="C55" s="43"/>
      <c r="D55" s="43"/>
      <c r="E55" s="43"/>
      <c r="F55" s="43"/>
      <c r="G55" s="44"/>
      <c r="H55" s="45">
        <v>46471.27</v>
      </c>
      <c r="I55" s="58">
        <v>4112</v>
      </c>
      <c r="J55" s="46"/>
      <c r="K55" s="43"/>
      <c r="L55" s="89">
        <v>66735</v>
      </c>
      <c r="M55" s="95">
        <v>23750</v>
      </c>
      <c r="N55" s="46"/>
      <c r="O55" s="98">
        <v>64910</v>
      </c>
      <c r="P55" s="99">
        <v>20347</v>
      </c>
      <c r="Q55" s="46">
        <v>48209</v>
      </c>
      <c r="R55" s="43"/>
      <c r="S55" s="55"/>
      <c r="T55" s="55"/>
      <c r="U55" s="46"/>
      <c r="V55" s="101">
        <f t="shared" si="0"/>
        <v>0</v>
      </c>
    </row>
    <row r="56" spans="1:22" s="37" customFormat="1" ht="25.5" x14ac:dyDescent="0.2">
      <c r="A56" s="40" t="s">
        <v>74</v>
      </c>
      <c r="B56" s="43"/>
      <c r="C56" s="43"/>
      <c r="D56" s="43"/>
      <c r="E56" s="43"/>
      <c r="F56" s="43"/>
      <c r="G56" s="44"/>
      <c r="H56" s="45">
        <v>7525</v>
      </c>
      <c r="I56" s="58">
        <v>2975</v>
      </c>
      <c r="J56" s="46"/>
      <c r="K56" s="43"/>
      <c r="L56" s="45">
        <v>19984</v>
      </c>
      <c r="M56" s="45">
        <v>516</v>
      </c>
      <c r="N56" s="97">
        <v>0</v>
      </c>
      <c r="O56" s="43">
        <v>33995</v>
      </c>
      <c r="P56" s="55">
        <v>525</v>
      </c>
      <c r="Q56" s="97">
        <v>4016</v>
      </c>
      <c r="R56" s="43"/>
      <c r="S56" s="55"/>
      <c r="T56" s="55"/>
      <c r="U56" s="46"/>
      <c r="V56" s="101">
        <f t="shared" si="0"/>
        <v>0</v>
      </c>
    </row>
    <row r="57" spans="1:22" s="37" customFormat="1" ht="15" x14ac:dyDescent="0.25">
      <c r="A57" s="40" t="s">
        <v>75</v>
      </c>
      <c r="B57" s="43"/>
      <c r="C57" s="43"/>
      <c r="D57" s="43"/>
      <c r="E57" s="43"/>
      <c r="F57" s="43"/>
      <c r="G57" s="44"/>
      <c r="H57" s="45"/>
      <c r="I57" s="58">
        <v>7800</v>
      </c>
      <c r="J57" s="46"/>
      <c r="K57" s="43"/>
      <c r="L57" s="45"/>
      <c r="M57" s="103">
        <v>13283</v>
      </c>
      <c r="N57" s="46"/>
      <c r="O57" s="43"/>
      <c r="P57" s="55"/>
      <c r="Q57" s="46">
        <v>21083</v>
      </c>
      <c r="R57" s="43"/>
      <c r="S57" s="55"/>
      <c r="T57" s="55"/>
      <c r="U57" s="46"/>
      <c r="V57" s="101">
        <f t="shared" si="0"/>
        <v>0</v>
      </c>
    </row>
    <row r="58" spans="1:22" s="37" customFormat="1" x14ac:dyDescent="0.2">
      <c r="A58" s="40" t="s">
        <v>76</v>
      </c>
      <c r="B58" s="43"/>
      <c r="C58" s="43"/>
      <c r="D58" s="43"/>
      <c r="E58" s="43"/>
      <c r="F58" s="43"/>
      <c r="G58" s="44"/>
      <c r="H58" s="45"/>
      <c r="I58" s="58"/>
      <c r="J58" s="46"/>
      <c r="K58" s="43"/>
      <c r="L58" s="45"/>
      <c r="M58" s="9">
        <v>1750</v>
      </c>
      <c r="N58" s="46"/>
      <c r="O58" s="43"/>
      <c r="P58" s="55">
        <v>1750</v>
      </c>
      <c r="Q58" s="46">
        <v>3500</v>
      </c>
      <c r="R58" s="43"/>
      <c r="S58" s="55"/>
      <c r="T58" s="55"/>
      <c r="U58" s="46"/>
      <c r="V58" s="101">
        <f t="shared" si="0"/>
        <v>0</v>
      </c>
    </row>
    <row r="59" spans="1:22" ht="25.5" x14ac:dyDescent="0.2">
      <c r="A59" s="87" t="s">
        <v>23</v>
      </c>
      <c r="B59" s="23"/>
      <c r="C59" s="23"/>
      <c r="D59" s="23"/>
      <c r="E59" s="23"/>
      <c r="F59" s="23">
        <v>38.97</v>
      </c>
      <c r="G59" s="6"/>
      <c r="H59" s="91">
        <v>52961.03</v>
      </c>
      <c r="I59" s="92">
        <v>0</v>
      </c>
      <c r="J59" s="93">
        <v>0</v>
      </c>
      <c r="K59" s="47"/>
      <c r="L59" s="91">
        <v>130000</v>
      </c>
      <c r="M59" s="94">
        <v>65000</v>
      </c>
      <c r="N59" s="93">
        <v>65000</v>
      </c>
      <c r="O59" s="106">
        <v>112039</v>
      </c>
      <c r="P59" s="56"/>
      <c r="Q59" s="24"/>
      <c r="R59" s="23"/>
      <c r="S59" s="56"/>
      <c r="T59" s="56"/>
      <c r="U59" s="24"/>
      <c r="V59" s="101">
        <f t="shared" si="0"/>
        <v>0</v>
      </c>
    </row>
    <row r="60" spans="1:22" x14ac:dyDescent="0.2">
      <c r="A60" s="18" t="s">
        <v>151</v>
      </c>
      <c r="B60" s="23"/>
      <c r="C60" s="23"/>
      <c r="D60" s="23"/>
      <c r="E60" s="23"/>
      <c r="F60" s="23"/>
      <c r="G60" s="6"/>
      <c r="H60" s="6">
        <v>10000</v>
      </c>
      <c r="I60" s="59"/>
      <c r="J60" s="24"/>
      <c r="K60" s="47"/>
      <c r="L60" s="6"/>
      <c r="M60" s="62"/>
      <c r="N60" s="24"/>
      <c r="O60" s="23"/>
      <c r="P60" s="56"/>
      <c r="Q60" s="24"/>
      <c r="R60" s="23"/>
      <c r="S60" s="56"/>
      <c r="T60" s="56"/>
      <c r="U60" s="24"/>
      <c r="V60" s="101">
        <f t="shared" si="0"/>
        <v>0</v>
      </c>
    </row>
    <row r="61" spans="1:22" x14ac:dyDescent="0.2">
      <c r="A61" s="18" t="s">
        <v>24</v>
      </c>
      <c r="B61" s="23"/>
      <c r="C61" s="23"/>
      <c r="D61" s="23"/>
      <c r="E61" s="23"/>
      <c r="F61" s="23"/>
      <c r="G61" s="6"/>
      <c r="H61" s="6">
        <v>15864.43</v>
      </c>
      <c r="I61" s="59"/>
      <c r="J61" s="24"/>
      <c r="K61" s="47"/>
      <c r="L61" s="6">
        <v>82731</v>
      </c>
      <c r="M61" s="58">
        <v>37794</v>
      </c>
      <c r="N61" s="46">
        <v>37794</v>
      </c>
      <c r="O61" s="23">
        <v>19761</v>
      </c>
      <c r="P61" s="56"/>
      <c r="Q61" s="24"/>
      <c r="R61" s="23"/>
      <c r="S61" s="56"/>
      <c r="T61" s="56"/>
      <c r="U61" s="24"/>
      <c r="V61" s="101">
        <f t="shared" si="0"/>
        <v>0</v>
      </c>
    </row>
    <row r="62" spans="1:22" ht="25.5" x14ac:dyDescent="0.2">
      <c r="A62" s="18" t="s">
        <v>160</v>
      </c>
      <c r="B62" s="23"/>
      <c r="C62" s="23"/>
      <c r="D62" s="23"/>
      <c r="E62" s="23"/>
      <c r="F62" s="23"/>
      <c r="G62" s="6"/>
      <c r="H62" s="6">
        <v>7800</v>
      </c>
      <c r="I62" s="59"/>
      <c r="J62" s="24"/>
      <c r="K62" s="47"/>
      <c r="L62" s="6">
        <v>5700</v>
      </c>
      <c r="M62" s="7"/>
      <c r="N62" s="24"/>
      <c r="O62" s="23"/>
      <c r="P62" s="56"/>
      <c r="Q62" s="24"/>
      <c r="R62" s="23"/>
      <c r="S62" s="56"/>
      <c r="T62" s="56"/>
      <c r="U62" s="24"/>
      <c r="V62" s="101">
        <f t="shared" si="0"/>
        <v>0</v>
      </c>
    </row>
    <row r="63" spans="1:22" s="8" customFormat="1" x14ac:dyDescent="0.2">
      <c r="A63" s="17" t="s">
        <v>30</v>
      </c>
      <c r="B63" s="25">
        <f t="shared" ref="B63:U63" si="3">SUM(B51:B62)</f>
        <v>0</v>
      </c>
      <c r="C63" s="25">
        <f t="shared" si="3"/>
        <v>0</v>
      </c>
      <c r="D63" s="25">
        <f t="shared" si="3"/>
        <v>27131.74</v>
      </c>
      <c r="E63" s="25">
        <f t="shared" si="3"/>
        <v>0</v>
      </c>
      <c r="F63" s="25">
        <f t="shared" si="3"/>
        <v>38.97</v>
      </c>
      <c r="G63" s="25">
        <f t="shared" si="3"/>
        <v>576.05999999999995</v>
      </c>
      <c r="H63" s="25">
        <f t="shared" si="3"/>
        <v>140621.72999999998</v>
      </c>
      <c r="I63" s="25">
        <f t="shared" si="3"/>
        <v>59021.11</v>
      </c>
      <c r="J63" s="25">
        <f t="shared" si="3"/>
        <v>0</v>
      </c>
      <c r="K63" s="25">
        <f t="shared" si="3"/>
        <v>0</v>
      </c>
      <c r="L63" s="25">
        <f t="shared" si="3"/>
        <v>305150</v>
      </c>
      <c r="M63" s="25">
        <f t="shared" si="3"/>
        <v>160751</v>
      </c>
      <c r="N63" s="25">
        <f t="shared" si="3"/>
        <v>161231</v>
      </c>
      <c r="O63" s="25">
        <f t="shared" si="3"/>
        <v>230705</v>
      </c>
      <c r="P63" s="25">
        <f t="shared" si="3"/>
        <v>22622</v>
      </c>
      <c r="Q63" s="25">
        <f t="shared" si="3"/>
        <v>108296</v>
      </c>
      <c r="R63" s="25">
        <f t="shared" si="3"/>
        <v>0</v>
      </c>
      <c r="S63" s="25">
        <f t="shared" si="3"/>
        <v>0</v>
      </c>
      <c r="T63" s="25">
        <f t="shared" si="3"/>
        <v>0</v>
      </c>
      <c r="U63" s="25">
        <f t="shared" si="3"/>
        <v>0</v>
      </c>
      <c r="V63" s="101">
        <f t="shared" si="0"/>
        <v>-1.1500000000232831</v>
      </c>
    </row>
    <row r="64" spans="1:22" s="37" customFormat="1" x14ac:dyDescent="0.2">
      <c r="A64" s="38" t="s">
        <v>102</v>
      </c>
      <c r="B64" s="43"/>
      <c r="C64" s="43"/>
      <c r="D64" s="43"/>
      <c r="E64" s="43"/>
      <c r="F64" s="43"/>
      <c r="G64" s="44"/>
      <c r="H64" s="45"/>
      <c r="I64" s="58"/>
      <c r="J64" s="46"/>
      <c r="K64" s="43"/>
      <c r="L64" s="45"/>
      <c r="M64" s="58">
        <v>0</v>
      </c>
      <c r="N64" s="46"/>
      <c r="O64" s="43"/>
      <c r="P64" s="55">
        <v>17000</v>
      </c>
      <c r="Q64" s="46">
        <v>17000</v>
      </c>
      <c r="R64" s="43"/>
      <c r="S64" s="55"/>
      <c r="T64" s="55"/>
      <c r="U64" s="46"/>
      <c r="V64" s="101">
        <f t="shared" si="0"/>
        <v>0</v>
      </c>
    </row>
    <row r="65" spans="1:22" s="37" customFormat="1" x14ac:dyDescent="0.2">
      <c r="A65" s="38" t="s">
        <v>194</v>
      </c>
      <c r="B65" s="43"/>
      <c r="C65" s="43">
        <v>569</v>
      </c>
      <c r="D65" s="43"/>
      <c r="E65" s="43"/>
      <c r="F65" s="43"/>
      <c r="G65" s="44"/>
      <c r="H65" s="45"/>
      <c r="I65" s="58"/>
      <c r="J65" s="46"/>
      <c r="K65" s="43"/>
      <c r="L65" s="45"/>
      <c r="M65" s="58"/>
      <c r="N65" s="46"/>
      <c r="O65" s="43"/>
      <c r="P65" s="55"/>
      <c r="Q65" s="46"/>
      <c r="R65" s="43"/>
      <c r="S65" s="55"/>
      <c r="T65" s="55"/>
      <c r="U65" s="46"/>
      <c r="V65" s="101">
        <f t="shared" si="0"/>
        <v>569</v>
      </c>
    </row>
    <row r="66" spans="1:22" s="37" customFormat="1" x14ac:dyDescent="0.2">
      <c r="A66" s="38" t="s">
        <v>103</v>
      </c>
      <c r="B66" s="43"/>
      <c r="C66" s="43"/>
      <c r="D66" s="43">
        <v>1730.77</v>
      </c>
      <c r="E66" s="43"/>
      <c r="F66" s="43"/>
      <c r="G66" s="44"/>
      <c r="H66" s="45"/>
      <c r="I66" s="58">
        <v>1000</v>
      </c>
      <c r="J66" s="46"/>
      <c r="K66" s="43"/>
      <c r="L66" s="45"/>
      <c r="M66" s="58">
        <v>3800</v>
      </c>
      <c r="N66" s="46">
        <v>6531</v>
      </c>
      <c r="O66" s="43"/>
      <c r="P66" s="55"/>
      <c r="Q66" s="46"/>
      <c r="R66" s="43"/>
      <c r="S66" s="55"/>
      <c r="T66" s="55"/>
      <c r="U66" s="46"/>
      <c r="V66" s="101">
        <f t="shared" si="0"/>
        <v>-0.22999999999956344</v>
      </c>
    </row>
    <row r="67" spans="1:22" s="37" customFormat="1" x14ac:dyDescent="0.2">
      <c r="A67" s="38" t="s">
        <v>104</v>
      </c>
      <c r="B67" s="43"/>
      <c r="C67" s="43"/>
      <c r="D67" s="43">
        <v>2331.21</v>
      </c>
      <c r="E67" s="43"/>
      <c r="F67" s="43"/>
      <c r="G67" s="44"/>
      <c r="H67" s="45"/>
      <c r="I67" s="58">
        <v>18200</v>
      </c>
      <c r="J67" s="46"/>
      <c r="K67" s="43"/>
      <c r="L67" s="45"/>
      <c r="M67" s="58">
        <v>7000</v>
      </c>
      <c r="N67" s="46"/>
      <c r="O67" s="43"/>
      <c r="P67" s="55"/>
      <c r="Q67" s="46">
        <v>27531</v>
      </c>
      <c r="R67" s="43"/>
      <c r="S67" s="55"/>
      <c r="T67" s="55"/>
      <c r="U67" s="46"/>
      <c r="V67" s="101">
        <f t="shared" si="0"/>
        <v>0.20999999999912689</v>
      </c>
    </row>
    <row r="68" spans="1:22" s="37" customFormat="1" x14ac:dyDescent="0.2">
      <c r="A68" s="38" t="s">
        <v>105</v>
      </c>
      <c r="B68" s="43"/>
      <c r="C68" s="43"/>
      <c r="D68" s="43">
        <v>3264.72</v>
      </c>
      <c r="E68" s="43"/>
      <c r="F68" s="43"/>
      <c r="G68" s="44"/>
      <c r="H68" s="45"/>
      <c r="I68" s="58">
        <f>2169+2175.17</f>
        <v>4344.17</v>
      </c>
      <c r="J68" s="46">
        <v>7608.89</v>
      </c>
      <c r="K68" s="43"/>
      <c r="L68" s="45"/>
      <c r="M68" s="58"/>
      <c r="N68" s="46"/>
      <c r="O68" s="43"/>
      <c r="P68" s="55"/>
      <c r="Q68" s="46"/>
      <c r="R68" s="43"/>
      <c r="S68" s="55"/>
      <c r="T68" s="55"/>
      <c r="U68" s="46"/>
      <c r="V68" s="101">
        <f t="shared" si="0"/>
        <v>-9.0949470177292824E-13</v>
      </c>
    </row>
    <row r="69" spans="1:22" s="37" customFormat="1" ht="25.5" x14ac:dyDescent="0.2">
      <c r="A69" s="38" t="s">
        <v>106</v>
      </c>
      <c r="B69" s="43"/>
      <c r="C69" s="43"/>
      <c r="D69" s="43">
        <v>1152.77</v>
      </c>
      <c r="E69" s="43"/>
      <c r="F69" s="43"/>
      <c r="G69" s="44"/>
      <c r="H69" s="45"/>
      <c r="I69" s="58">
        <v>5639.32</v>
      </c>
      <c r="J69" s="46">
        <v>6792.08</v>
      </c>
      <c r="K69" s="43"/>
      <c r="L69" s="45"/>
      <c r="M69" s="58"/>
      <c r="N69" s="46"/>
      <c r="O69" s="43"/>
      <c r="P69" s="55"/>
      <c r="Q69" s="46"/>
      <c r="R69" s="43"/>
      <c r="S69" s="55"/>
      <c r="T69" s="55"/>
      <c r="U69" s="46"/>
      <c r="V69" s="101">
        <f t="shared" si="0"/>
        <v>1.0000000000218279E-2</v>
      </c>
    </row>
    <row r="70" spans="1:22" s="37" customFormat="1" x14ac:dyDescent="0.2">
      <c r="A70" s="38" t="s">
        <v>107</v>
      </c>
      <c r="B70" s="43"/>
      <c r="C70" s="43"/>
      <c r="D70" s="43"/>
      <c r="E70" s="43"/>
      <c r="F70" s="43"/>
      <c r="G70" s="44"/>
      <c r="H70" s="45">
        <v>0</v>
      </c>
      <c r="I70" s="96">
        <v>0</v>
      </c>
      <c r="J70" s="46"/>
      <c r="K70" s="43"/>
      <c r="L70" s="45"/>
      <c r="M70" s="96">
        <v>2500</v>
      </c>
      <c r="N70" s="46"/>
      <c r="O70" s="43"/>
      <c r="P70" s="99">
        <v>15930</v>
      </c>
      <c r="Q70" s="46">
        <v>18430</v>
      </c>
      <c r="R70" s="43"/>
      <c r="S70" s="55"/>
      <c r="T70" s="55"/>
      <c r="U70" s="46"/>
      <c r="V70" s="101">
        <f t="shared" si="0"/>
        <v>0</v>
      </c>
    </row>
    <row r="71" spans="1:22" s="37" customFormat="1" x14ac:dyDescent="0.2">
      <c r="A71" s="38" t="s">
        <v>108</v>
      </c>
      <c r="B71" s="43"/>
      <c r="C71" s="43"/>
      <c r="D71" s="43"/>
      <c r="E71" s="43"/>
      <c r="F71" s="43"/>
      <c r="G71" s="44"/>
      <c r="H71" s="45">
        <v>0</v>
      </c>
      <c r="I71" s="58">
        <v>0</v>
      </c>
      <c r="J71" s="46"/>
      <c r="K71" s="43"/>
      <c r="L71" s="45"/>
      <c r="M71" s="58">
        <v>0</v>
      </c>
      <c r="N71" s="46"/>
      <c r="O71" s="43"/>
      <c r="P71" s="55">
        <v>4200</v>
      </c>
      <c r="Q71" s="46">
        <v>0</v>
      </c>
      <c r="R71" s="43"/>
      <c r="S71" s="55"/>
      <c r="T71" s="55">
        <v>12400</v>
      </c>
      <c r="U71" s="46">
        <v>16600</v>
      </c>
      <c r="V71" s="101">
        <f t="shared" ref="V71:V134" si="4">C71+D71+I71+M71+P71+T71-E71-J71-N71-Q71-U71</f>
        <v>0</v>
      </c>
    </row>
    <row r="72" spans="1:22" s="37" customFormat="1" ht="25.5" x14ac:dyDescent="0.2">
      <c r="A72" s="39" t="s">
        <v>77</v>
      </c>
      <c r="B72" s="43"/>
      <c r="C72" s="43">
        <v>15545.257169999999</v>
      </c>
      <c r="D72" s="43"/>
      <c r="E72" s="43">
        <v>15545.26</v>
      </c>
      <c r="F72" s="43"/>
      <c r="G72" s="44"/>
      <c r="H72" s="45"/>
      <c r="I72" s="58"/>
      <c r="J72" s="46"/>
      <c r="K72" s="43"/>
      <c r="L72" s="45"/>
      <c r="M72" s="58"/>
      <c r="N72" s="46"/>
      <c r="O72" s="43"/>
      <c r="P72" s="55"/>
      <c r="Q72" s="46"/>
      <c r="R72" s="43"/>
      <c r="S72" s="55"/>
      <c r="T72" s="55"/>
      <c r="U72" s="46"/>
      <c r="V72" s="101">
        <f t="shared" si="4"/>
        <v>-2.8300000012677629E-3</v>
      </c>
    </row>
    <row r="73" spans="1:22" s="37" customFormat="1" ht="25.5" x14ac:dyDescent="0.2">
      <c r="A73" s="39" t="s">
        <v>79</v>
      </c>
      <c r="B73" s="43"/>
      <c r="C73" s="43">
        <v>10290.78996</v>
      </c>
      <c r="D73" s="43">
        <v>1156.56</v>
      </c>
      <c r="E73" s="43">
        <v>11447.35</v>
      </c>
      <c r="F73" s="43"/>
      <c r="G73" s="44"/>
      <c r="H73" s="45"/>
      <c r="I73" s="58"/>
      <c r="J73" s="46"/>
      <c r="K73" s="43"/>
      <c r="L73" s="45"/>
      <c r="M73" s="58"/>
      <c r="N73" s="46"/>
      <c r="O73" s="43"/>
      <c r="P73" s="55"/>
      <c r="Q73" s="46"/>
      <c r="R73" s="43"/>
      <c r="S73" s="55"/>
      <c r="T73" s="55"/>
      <c r="U73" s="46"/>
      <c r="V73" s="101">
        <f t="shared" si="4"/>
        <v>-4.000000080850441E-5</v>
      </c>
    </row>
    <row r="74" spans="1:22" s="37" customFormat="1" x14ac:dyDescent="0.2">
      <c r="A74" s="39" t="s">
        <v>78</v>
      </c>
      <c r="B74" s="43"/>
      <c r="C74" s="43"/>
      <c r="D74" s="43"/>
      <c r="E74" s="43"/>
      <c r="F74" s="43"/>
      <c r="G74" s="44">
        <v>359.74</v>
      </c>
      <c r="H74" s="45"/>
      <c r="I74" s="58"/>
      <c r="J74" s="46"/>
      <c r="K74" s="43"/>
      <c r="L74" s="45"/>
      <c r="M74" s="58"/>
      <c r="N74" s="46"/>
      <c r="O74" s="43"/>
      <c r="P74" s="55"/>
      <c r="Q74" s="46"/>
      <c r="R74" s="43"/>
      <c r="S74" s="55"/>
      <c r="T74" s="55"/>
      <c r="U74" s="46"/>
      <c r="V74" s="101">
        <f t="shared" si="4"/>
        <v>0</v>
      </c>
    </row>
    <row r="75" spans="1:22" s="37" customFormat="1" x14ac:dyDescent="0.2">
      <c r="A75" s="39" t="s">
        <v>80</v>
      </c>
      <c r="B75" s="43"/>
      <c r="C75" s="43"/>
      <c r="D75" s="43">
        <v>2148.46</v>
      </c>
      <c r="E75" s="43"/>
      <c r="F75" s="43"/>
      <c r="G75" s="44"/>
      <c r="H75" s="45"/>
      <c r="I75" s="58">
        <f>5292+3701.2</f>
        <v>8993.2000000000007</v>
      </c>
      <c r="J75" s="46"/>
      <c r="K75" s="43"/>
      <c r="L75" s="45"/>
      <c r="M75" s="58"/>
      <c r="N75" s="46">
        <v>11142</v>
      </c>
      <c r="O75" s="43"/>
      <c r="P75" s="55"/>
      <c r="Q75" s="46"/>
      <c r="R75" s="43"/>
      <c r="S75" s="55"/>
      <c r="T75" s="55"/>
      <c r="U75" s="46"/>
      <c r="V75" s="101">
        <f t="shared" si="4"/>
        <v>-0.34000000000014552</v>
      </c>
    </row>
    <row r="76" spans="1:22" s="37" customFormat="1" ht="25.5" x14ac:dyDescent="0.2">
      <c r="A76" s="39" t="s">
        <v>81</v>
      </c>
      <c r="B76" s="43"/>
      <c r="C76" s="43"/>
      <c r="D76" s="43"/>
      <c r="E76" s="43"/>
      <c r="F76" s="43"/>
      <c r="G76" s="44"/>
      <c r="H76" s="45"/>
      <c r="I76" s="58"/>
      <c r="J76" s="46"/>
      <c r="K76" s="43"/>
      <c r="L76" s="45"/>
      <c r="M76" s="58">
        <v>3473</v>
      </c>
      <c r="N76" s="46"/>
      <c r="O76" s="43"/>
      <c r="P76" s="55"/>
      <c r="Q76" s="46">
        <v>3473</v>
      </c>
      <c r="R76" s="43"/>
      <c r="S76" s="55"/>
      <c r="T76" s="55"/>
      <c r="U76" s="46"/>
      <c r="V76" s="101">
        <f t="shared" si="4"/>
        <v>0</v>
      </c>
    </row>
    <row r="77" spans="1:22" s="37" customFormat="1" x14ac:dyDescent="0.2">
      <c r="A77" s="39" t="s">
        <v>82</v>
      </c>
      <c r="B77" s="43"/>
      <c r="C77" s="43"/>
      <c r="D77" s="43"/>
      <c r="E77" s="43"/>
      <c r="F77" s="43"/>
      <c r="G77" s="44"/>
      <c r="H77" s="45"/>
      <c r="I77" s="58"/>
      <c r="J77" s="46"/>
      <c r="K77" s="43"/>
      <c r="L77" s="45"/>
      <c r="M77" s="58">
        <v>4096</v>
      </c>
      <c r="N77" s="46"/>
      <c r="O77" s="43"/>
      <c r="P77" s="55"/>
      <c r="Q77" s="46">
        <v>4096</v>
      </c>
      <c r="R77" s="43"/>
      <c r="S77" s="55"/>
      <c r="T77" s="55"/>
      <c r="U77" s="46"/>
      <c r="V77" s="101">
        <f t="shared" si="4"/>
        <v>0</v>
      </c>
    </row>
    <row r="78" spans="1:22" s="37" customFormat="1" x14ac:dyDescent="0.2">
      <c r="A78" s="39" t="s">
        <v>83</v>
      </c>
      <c r="B78" s="43"/>
      <c r="C78" s="43"/>
      <c r="D78" s="43"/>
      <c r="E78" s="43"/>
      <c r="F78" s="43"/>
      <c r="G78" s="44"/>
      <c r="H78" s="45"/>
      <c r="I78" s="58"/>
      <c r="J78" s="46"/>
      <c r="K78" s="43"/>
      <c r="L78" s="45"/>
      <c r="M78" s="58">
        <v>3819</v>
      </c>
      <c r="N78" s="46"/>
      <c r="O78" s="43"/>
      <c r="P78" s="55"/>
      <c r="Q78" s="46">
        <v>3819</v>
      </c>
      <c r="R78" s="43"/>
      <c r="S78" s="55"/>
      <c r="T78" s="55"/>
      <c r="U78" s="46"/>
      <c r="V78" s="101">
        <f t="shared" si="4"/>
        <v>0</v>
      </c>
    </row>
    <row r="79" spans="1:22" s="37" customFormat="1" x14ac:dyDescent="0.2">
      <c r="A79" s="39" t="s">
        <v>84</v>
      </c>
      <c r="B79" s="43"/>
      <c r="C79" s="43"/>
      <c r="D79" s="43"/>
      <c r="E79" s="43"/>
      <c r="F79" s="43"/>
      <c r="G79" s="44"/>
      <c r="H79" s="45"/>
      <c r="I79" s="58"/>
      <c r="J79" s="46"/>
      <c r="K79" s="43"/>
      <c r="L79" s="45"/>
      <c r="M79" s="58">
        <v>7264</v>
      </c>
      <c r="N79" s="46"/>
      <c r="O79" s="43"/>
      <c r="P79" s="55"/>
      <c r="Q79" s="46">
        <v>7264</v>
      </c>
      <c r="R79" s="43"/>
      <c r="S79" s="55"/>
      <c r="T79" s="55"/>
      <c r="U79" s="46"/>
      <c r="V79" s="101">
        <f t="shared" si="4"/>
        <v>0</v>
      </c>
    </row>
    <row r="80" spans="1:22" s="37" customFormat="1" x14ac:dyDescent="0.2">
      <c r="A80" s="39" t="s">
        <v>85</v>
      </c>
      <c r="B80" s="43"/>
      <c r="C80" s="43"/>
      <c r="D80" s="43"/>
      <c r="E80" s="43"/>
      <c r="F80" s="43"/>
      <c r="G80" s="44"/>
      <c r="H80" s="45"/>
      <c r="I80" s="58"/>
      <c r="J80" s="46"/>
      <c r="K80" s="43"/>
      <c r="L80" s="45"/>
      <c r="M80" s="58">
        <v>12270</v>
      </c>
      <c r="N80" s="46"/>
      <c r="O80" s="43"/>
      <c r="P80" s="55"/>
      <c r="Q80" s="46">
        <v>12270</v>
      </c>
      <c r="R80" s="43"/>
      <c r="S80" s="55"/>
      <c r="T80" s="55"/>
      <c r="U80" s="46"/>
      <c r="V80" s="101">
        <f t="shared" si="4"/>
        <v>0</v>
      </c>
    </row>
    <row r="81" spans="1:22" s="37" customFormat="1" x14ac:dyDescent="0.2">
      <c r="A81" s="39" t="s">
        <v>86</v>
      </c>
      <c r="B81" s="43"/>
      <c r="C81" s="43"/>
      <c r="D81" s="43"/>
      <c r="E81" s="43"/>
      <c r="F81" s="43"/>
      <c r="G81" s="44"/>
      <c r="H81" s="45"/>
      <c r="I81" s="58"/>
      <c r="J81" s="46"/>
      <c r="K81" s="43"/>
      <c r="L81" s="45"/>
      <c r="M81" s="58">
        <v>1561</v>
      </c>
      <c r="N81" s="46"/>
      <c r="O81" s="43"/>
      <c r="P81" s="55"/>
      <c r="Q81" s="46">
        <v>1561</v>
      </c>
      <c r="R81" s="43"/>
      <c r="S81" s="55"/>
      <c r="T81" s="55"/>
      <c r="U81" s="46"/>
      <c r="V81" s="101">
        <f t="shared" si="4"/>
        <v>0</v>
      </c>
    </row>
    <row r="82" spans="1:22" s="37" customFormat="1" x14ac:dyDescent="0.2">
      <c r="A82" s="39" t="s">
        <v>87</v>
      </c>
      <c r="B82" s="43"/>
      <c r="C82" s="43"/>
      <c r="D82" s="43"/>
      <c r="E82" s="43"/>
      <c r="F82" s="43"/>
      <c r="G82" s="44"/>
      <c r="H82" s="45"/>
      <c r="I82" s="58"/>
      <c r="J82" s="46"/>
      <c r="K82" s="43"/>
      <c r="L82" s="45"/>
      <c r="M82" s="58">
        <v>7683</v>
      </c>
      <c r="N82" s="46"/>
      <c r="O82" s="43"/>
      <c r="P82" s="55"/>
      <c r="Q82" s="46">
        <v>7683</v>
      </c>
      <c r="R82" s="43"/>
      <c r="S82" s="55"/>
      <c r="T82" s="55"/>
      <c r="U82" s="46"/>
      <c r="V82" s="101">
        <f t="shared" si="4"/>
        <v>0</v>
      </c>
    </row>
    <row r="83" spans="1:22" s="37" customFormat="1" x14ac:dyDescent="0.2">
      <c r="A83" s="39" t="s">
        <v>88</v>
      </c>
      <c r="B83" s="43"/>
      <c r="C83" s="43"/>
      <c r="D83" s="43"/>
      <c r="E83" s="43"/>
      <c r="F83" s="43"/>
      <c r="G83" s="44"/>
      <c r="H83" s="45"/>
      <c r="I83" s="58"/>
      <c r="J83" s="46"/>
      <c r="K83" s="43"/>
      <c r="L83" s="45"/>
      <c r="M83" s="58">
        <v>10928</v>
      </c>
      <c r="N83" s="46"/>
      <c r="O83" s="43"/>
      <c r="P83" s="55"/>
      <c r="Q83" s="46">
        <v>10928</v>
      </c>
      <c r="R83" s="43"/>
      <c r="S83" s="55"/>
      <c r="T83" s="55"/>
      <c r="U83" s="46"/>
      <c r="V83" s="101">
        <f t="shared" si="4"/>
        <v>0</v>
      </c>
    </row>
    <row r="84" spans="1:22" s="37" customFormat="1" x14ac:dyDescent="0.2">
      <c r="A84" s="39" t="s">
        <v>89</v>
      </c>
      <c r="B84" s="43"/>
      <c r="C84" s="43"/>
      <c r="D84" s="43"/>
      <c r="E84" s="43"/>
      <c r="F84" s="43"/>
      <c r="G84" s="44"/>
      <c r="H84" s="45"/>
      <c r="I84" s="58"/>
      <c r="J84" s="46"/>
      <c r="K84" s="43"/>
      <c r="L84" s="45"/>
      <c r="M84" s="58">
        <v>3356</v>
      </c>
      <c r="N84" s="46"/>
      <c r="O84" s="43"/>
      <c r="P84" s="55"/>
      <c r="Q84" s="46">
        <v>3356</v>
      </c>
      <c r="R84" s="43"/>
      <c r="S84" s="55"/>
      <c r="T84" s="55"/>
      <c r="U84" s="46"/>
      <c r="V84" s="101">
        <f t="shared" si="4"/>
        <v>0</v>
      </c>
    </row>
    <row r="85" spans="1:22" s="37" customFormat="1" x14ac:dyDescent="0.2">
      <c r="A85" s="39" t="s">
        <v>90</v>
      </c>
      <c r="B85" s="43"/>
      <c r="C85" s="43"/>
      <c r="D85" s="43"/>
      <c r="E85" s="43"/>
      <c r="F85" s="43"/>
      <c r="G85" s="44"/>
      <c r="H85" s="45"/>
      <c r="I85" s="58"/>
      <c r="J85" s="46"/>
      <c r="K85" s="43"/>
      <c r="L85" s="45"/>
      <c r="M85" s="58">
        <v>2380</v>
      </c>
      <c r="N85" s="46"/>
      <c r="O85" s="43"/>
      <c r="P85" s="55"/>
      <c r="Q85" s="46">
        <v>2380</v>
      </c>
      <c r="R85" s="43"/>
      <c r="S85" s="55"/>
      <c r="T85" s="55"/>
      <c r="U85" s="46"/>
      <c r="V85" s="101">
        <f t="shared" si="4"/>
        <v>0</v>
      </c>
    </row>
    <row r="86" spans="1:22" s="37" customFormat="1" x14ac:dyDescent="0.2">
      <c r="A86" s="39" t="s">
        <v>155</v>
      </c>
      <c r="B86" s="43"/>
      <c r="C86" s="43"/>
      <c r="D86" s="43"/>
      <c r="E86" s="43"/>
      <c r="F86" s="43"/>
      <c r="G86" s="44"/>
      <c r="H86" s="45"/>
      <c r="I86" s="58"/>
      <c r="J86" s="46"/>
      <c r="K86" s="43"/>
      <c r="L86" s="43"/>
      <c r="M86" s="96">
        <v>8191</v>
      </c>
      <c r="N86" s="97"/>
      <c r="O86" s="43"/>
      <c r="P86" s="55"/>
      <c r="Q86" s="46">
        <v>8191</v>
      </c>
      <c r="R86" s="43"/>
      <c r="S86" s="55"/>
      <c r="T86" s="55"/>
      <c r="U86" s="46"/>
      <c r="V86" s="101">
        <f t="shared" si="4"/>
        <v>0</v>
      </c>
    </row>
    <row r="87" spans="1:22" s="37" customFormat="1" x14ac:dyDescent="0.2">
      <c r="A87" s="39" t="s">
        <v>156</v>
      </c>
      <c r="B87" s="43"/>
      <c r="C87" s="43"/>
      <c r="D87" s="43"/>
      <c r="E87" s="43"/>
      <c r="F87" s="43"/>
      <c r="G87" s="44"/>
      <c r="H87" s="45"/>
      <c r="I87" s="58"/>
      <c r="J87" s="46"/>
      <c r="K87" s="43"/>
      <c r="L87" s="43"/>
      <c r="M87" s="96">
        <v>0</v>
      </c>
      <c r="N87" s="97"/>
      <c r="O87" s="43"/>
      <c r="P87" s="99">
        <v>3800</v>
      </c>
      <c r="Q87" s="97">
        <v>3800</v>
      </c>
      <c r="R87" s="43"/>
      <c r="S87" s="55"/>
      <c r="T87" s="55"/>
      <c r="U87" s="46"/>
      <c r="V87" s="101">
        <f t="shared" si="4"/>
        <v>0</v>
      </c>
    </row>
    <row r="88" spans="1:22" s="37" customFormat="1" ht="25.5" x14ac:dyDescent="0.2">
      <c r="A88" s="39" t="s">
        <v>157</v>
      </c>
      <c r="B88" s="43"/>
      <c r="C88" s="43"/>
      <c r="D88" s="43"/>
      <c r="E88" s="43"/>
      <c r="F88" s="43"/>
      <c r="G88" s="44"/>
      <c r="H88" s="45"/>
      <c r="I88" s="58"/>
      <c r="J88" s="46"/>
      <c r="K88" s="43"/>
      <c r="L88" s="43"/>
      <c r="M88" s="96">
        <v>9804</v>
      </c>
      <c r="N88" s="97"/>
      <c r="O88" s="43"/>
      <c r="P88" s="55"/>
      <c r="Q88" s="46">
        <v>9804</v>
      </c>
      <c r="R88" s="43"/>
      <c r="S88" s="55"/>
      <c r="T88" s="55"/>
      <c r="U88" s="46"/>
      <c r="V88" s="101">
        <f t="shared" si="4"/>
        <v>0</v>
      </c>
    </row>
    <row r="89" spans="1:22" s="37" customFormat="1" x14ac:dyDescent="0.2">
      <c r="A89" s="39" t="s">
        <v>158</v>
      </c>
      <c r="B89" s="43"/>
      <c r="C89" s="43"/>
      <c r="D89" s="43"/>
      <c r="E89" s="43"/>
      <c r="F89" s="43"/>
      <c r="G89" s="44"/>
      <c r="H89" s="45"/>
      <c r="I89" s="58"/>
      <c r="J89" s="46"/>
      <c r="K89" s="43"/>
      <c r="L89" s="43"/>
      <c r="M89" s="96">
        <v>11853</v>
      </c>
      <c r="N89" s="97"/>
      <c r="O89" s="43"/>
      <c r="P89" s="55"/>
      <c r="Q89" s="46">
        <v>11853</v>
      </c>
      <c r="R89" s="43"/>
      <c r="S89" s="55"/>
      <c r="T89" s="55"/>
      <c r="U89" s="46"/>
      <c r="V89" s="101">
        <f t="shared" si="4"/>
        <v>0</v>
      </c>
    </row>
    <row r="90" spans="1:22" s="37" customFormat="1" ht="25.5" x14ac:dyDescent="0.2">
      <c r="A90" s="39" t="s">
        <v>159</v>
      </c>
      <c r="B90" s="43"/>
      <c r="C90" s="43"/>
      <c r="D90" s="43"/>
      <c r="E90" s="43"/>
      <c r="F90" s="43"/>
      <c r="G90" s="44"/>
      <c r="H90" s="45"/>
      <c r="I90" s="58"/>
      <c r="J90" s="46"/>
      <c r="K90" s="43"/>
      <c r="L90" s="43"/>
      <c r="M90" s="96">
        <v>15042</v>
      </c>
      <c r="N90" s="97"/>
      <c r="O90" s="43"/>
      <c r="P90" s="55"/>
      <c r="Q90" s="46">
        <v>15042</v>
      </c>
      <c r="R90" s="43"/>
      <c r="S90" s="55"/>
      <c r="T90" s="55"/>
      <c r="U90" s="46"/>
      <c r="V90" s="101">
        <f t="shared" si="4"/>
        <v>0</v>
      </c>
    </row>
    <row r="91" spans="1:22" ht="25.5" x14ac:dyDescent="0.2">
      <c r="A91" s="16" t="s">
        <v>179</v>
      </c>
      <c r="B91" s="23"/>
      <c r="C91" s="23"/>
      <c r="D91" s="23"/>
      <c r="E91" s="23"/>
      <c r="F91" s="23">
        <v>162175.28</v>
      </c>
      <c r="G91" s="6"/>
      <c r="H91" s="6">
        <v>45000</v>
      </c>
      <c r="I91" s="59"/>
      <c r="J91" s="24"/>
      <c r="K91" s="23"/>
      <c r="L91" s="6">
        <v>0</v>
      </c>
      <c r="M91" s="59"/>
      <c r="N91" s="24"/>
      <c r="O91" s="23">
        <v>0</v>
      </c>
      <c r="P91" s="56"/>
      <c r="Q91" s="24"/>
      <c r="R91" s="23">
        <v>0</v>
      </c>
      <c r="S91" s="56"/>
      <c r="T91" s="56"/>
      <c r="U91" s="24"/>
      <c r="V91" s="101">
        <f t="shared" si="4"/>
        <v>0</v>
      </c>
    </row>
    <row r="92" spans="1:22" ht="25.5" x14ac:dyDescent="0.2">
      <c r="A92" s="16" t="s">
        <v>180</v>
      </c>
      <c r="B92" s="23"/>
      <c r="C92" s="23"/>
      <c r="D92" s="23"/>
      <c r="E92" s="23"/>
      <c r="F92" s="23"/>
      <c r="G92" s="6"/>
      <c r="H92" s="104">
        <v>0</v>
      </c>
      <c r="I92" s="59"/>
      <c r="J92" s="24"/>
      <c r="K92" s="47"/>
      <c r="L92" s="104">
        <v>5500</v>
      </c>
      <c r="M92" s="59"/>
      <c r="N92" s="24"/>
      <c r="O92" s="106">
        <v>25000</v>
      </c>
      <c r="P92" s="56"/>
      <c r="Q92" s="24"/>
      <c r="R92" s="23">
        <v>0</v>
      </c>
      <c r="S92" s="56"/>
      <c r="T92" s="56"/>
      <c r="U92" s="24"/>
      <c r="V92" s="101">
        <f t="shared" si="4"/>
        <v>0</v>
      </c>
    </row>
    <row r="93" spans="1:22" ht="25.5" x14ac:dyDescent="0.2">
      <c r="A93" s="16" t="s">
        <v>181</v>
      </c>
      <c r="B93" s="23"/>
      <c r="C93" s="23"/>
      <c r="D93" s="23"/>
      <c r="E93" s="23"/>
      <c r="F93" s="23"/>
      <c r="G93" s="6"/>
      <c r="H93" s="6">
        <v>0</v>
      </c>
      <c r="I93" s="59"/>
      <c r="J93" s="24"/>
      <c r="K93" s="47"/>
      <c r="L93" s="6">
        <v>52090</v>
      </c>
      <c r="M93" s="59"/>
      <c r="N93" s="24"/>
      <c r="O93" s="23">
        <v>0</v>
      </c>
      <c r="P93" s="56"/>
      <c r="Q93" s="24"/>
      <c r="R93" s="23">
        <v>0</v>
      </c>
      <c r="S93" s="56"/>
      <c r="T93" s="56"/>
      <c r="U93" s="24"/>
      <c r="V93" s="101">
        <f t="shared" si="4"/>
        <v>0</v>
      </c>
    </row>
    <row r="94" spans="1:22" ht="38.25" x14ac:dyDescent="0.2">
      <c r="A94" s="16" t="s">
        <v>182</v>
      </c>
      <c r="B94" s="23"/>
      <c r="C94" s="23"/>
      <c r="D94" s="23"/>
      <c r="E94" s="23"/>
      <c r="F94" s="23"/>
      <c r="G94" s="6"/>
      <c r="H94" s="6">
        <v>31098</v>
      </c>
      <c r="I94" s="59"/>
      <c r="J94" s="24"/>
      <c r="K94" s="23"/>
      <c r="L94" s="6">
        <v>19500</v>
      </c>
      <c r="M94" s="59"/>
      <c r="N94" s="24"/>
      <c r="O94" s="23">
        <v>0</v>
      </c>
      <c r="P94" s="56"/>
      <c r="Q94" s="24"/>
      <c r="R94" s="23">
        <v>0</v>
      </c>
      <c r="S94" s="56"/>
      <c r="T94" s="56"/>
      <c r="U94" s="24"/>
      <c r="V94" s="101">
        <f t="shared" si="4"/>
        <v>0</v>
      </c>
    </row>
    <row r="95" spans="1:22" ht="38.25" x14ac:dyDescent="0.2">
      <c r="A95" s="16" t="s">
        <v>183</v>
      </c>
      <c r="B95" s="23"/>
      <c r="C95" s="23"/>
      <c r="D95" s="23"/>
      <c r="E95" s="23"/>
      <c r="F95" s="23"/>
      <c r="G95" s="6"/>
      <c r="H95" s="6">
        <v>5500</v>
      </c>
      <c r="I95" s="59"/>
      <c r="J95" s="24"/>
      <c r="K95" s="23"/>
      <c r="L95" s="6">
        <v>0</v>
      </c>
      <c r="M95" s="59"/>
      <c r="N95" s="24"/>
      <c r="O95" s="23">
        <v>0</v>
      </c>
      <c r="P95" s="56"/>
      <c r="Q95" s="24"/>
      <c r="R95" s="23">
        <v>0</v>
      </c>
      <c r="S95" s="56"/>
      <c r="T95" s="56"/>
      <c r="U95" s="24"/>
      <c r="V95" s="101">
        <f t="shared" si="4"/>
        <v>0</v>
      </c>
    </row>
    <row r="96" spans="1:22" ht="38.25" x14ac:dyDescent="0.2">
      <c r="A96" s="16" t="s">
        <v>184</v>
      </c>
      <c r="B96" s="23"/>
      <c r="C96" s="23"/>
      <c r="D96" s="23"/>
      <c r="E96" s="23"/>
      <c r="F96" s="23"/>
      <c r="G96" s="6"/>
      <c r="H96" s="104">
        <v>20571</v>
      </c>
      <c r="I96" s="59"/>
      <c r="J96" s="24"/>
      <c r="K96" s="23"/>
      <c r="L96" s="104">
        <v>113428</v>
      </c>
      <c r="M96" s="59"/>
      <c r="N96" s="24"/>
      <c r="O96" s="23">
        <v>42000</v>
      </c>
      <c r="P96" s="56"/>
      <c r="Q96" s="24"/>
      <c r="R96" s="23">
        <v>0</v>
      </c>
      <c r="S96" s="56"/>
      <c r="T96" s="56"/>
      <c r="U96" s="24"/>
      <c r="V96" s="101">
        <f t="shared" si="4"/>
        <v>0</v>
      </c>
    </row>
    <row r="97" spans="1:22" ht="25.5" x14ac:dyDescent="0.2">
      <c r="A97" s="16" t="s">
        <v>185</v>
      </c>
      <c r="B97" s="23"/>
      <c r="C97" s="23"/>
      <c r="D97" s="23"/>
      <c r="E97" s="23"/>
      <c r="F97" s="23"/>
      <c r="G97" s="6"/>
      <c r="H97" s="104">
        <v>51000</v>
      </c>
      <c r="I97" s="59"/>
      <c r="J97" s="24"/>
      <c r="K97" s="47"/>
      <c r="L97" s="104">
        <v>0</v>
      </c>
      <c r="M97" s="59"/>
      <c r="N97" s="24"/>
      <c r="O97" s="23">
        <v>0</v>
      </c>
      <c r="P97" s="56"/>
      <c r="Q97" s="24"/>
      <c r="R97" s="23">
        <v>0</v>
      </c>
      <c r="S97" s="56"/>
      <c r="T97" s="56"/>
      <c r="U97" s="24"/>
      <c r="V97" s="101">
        <f t="shared" si="4"/>
        <v>0</v>
      </c>
    </row>
    <row r="98" spans="1:22" ht="25.5" x14ac:dyDescent="0.2">
      <c r="A98" s="19" t="s">
        <v>186</v>
      </c>
      <c r="B98" s="23"/>
      <c r="C98" s="23"/>
      <c r="D98" s="23"/>
      <c r="E98" s="23"/>
      <c r="F98" s="23"/>
      <c r="G98" s="6"/>
      <c r="H98" s="104">
        <v>15000</v>
      </c>
      <c r="I98" s="59"/>
      <c r="J98" s="24"/>
      <c r="K98" s="47"/>
      <c r="L98" s="104">
        <v>0</v>
      </c>
      <c r="M98" s="59"/>
      <c r="N98" s="24"/>
      <c r="O98" s="23">
        <v>0</v>
      </c>
      <c r="P98" s="56"/>
      <c r="Q98" s="24"/>
      <c r="R98" s="23">
        <v>0</v>
      </c>
      <c r="S98" s="56"/>
      <c r="T98" s="56"/>
      <c r="U98" s="24"/>
      <c r="V98" s="101">
        <f t="shared" si="4"/>
        <v>0</v>
      </c>
    </row>
    <row r="99" spans="1:22" ht="51" x14ac:dyDescent="0.2">
      <c r="A99" s="16" t="s">
        <v>187</v>
      </c>
      <c r="B99" s="23"/>
      <c r="C99" s="23"/>
      <c r="D99" s="23"/>
      <c r="E99" s="23"/>
      <c r="F99" s="23"/>
      <c r="G99" s="6"/>
      <c r="H99" s="104">
        <v>10000</v>
      </c>
      <c r="I99" s="59"/>
      <c r="J99" s="24"/>
      <c r="K99" s="47"/>
      <c r="L99" s="104">
        <v>28000</v>
      </c>
      <c r="M99" s="59"/>
      <c r="N99" s="24"/>
      <c r="O99" s="106">
        <v>0</v>
      </c>
      <c r="P99" s="56"/>
      <c r="Q99" s="24"/>
      <c r="R99" s="23">
        <v>0</v>
      </c>
      <c r="S99" s="56"/>
      <c r="T99" s="56"/>
      <c r="U99" s="24"/>
      <c r="V99" s="101">
        <f t="shared" si="4"/>
        <v>0</v>
      </c>
    </row>
    <row r="100" spans="1:22" ht="25.5" x14ac:dyDescent="0.2">
      <c r="A100" s="16" t="s">
        <v>188</v>
      </c>
      <c r="B100" s="23"/>
      <c r="C100" s="23"/>
      <c r="D100" s="23"/>
      <c r="E100" s="23"/>
      <c r="F100" s="23"/>
      <c r="G100" s="6"/>
      <c r="H100" s="6">
        <v>27200</v>
      </c>
      <c r="I100" s="59"/>
      <c r="J100" s="24"/>
      <c r="K100" s="23"/>
      <c r="L100" s="6">
        <v>500</v>
      </c>
      <c r="M100" s="59"/>
      <c r="N100" s="24"/>
      <c r="O100" s="23">
        <v>0</v>
      </c>
      <c r="P100" s="56"/>
      <c r="Q100" s="24"/>
      <c r="R100" s="23">
        <v>0</v>
      </c>
      <c r="S100" s="56"/>
      <c r="T100" s="56"/>
      <c r="U100" s="24"/>
      <c r="V100" s="101">
        <f t="shared" si="4"/>
        <v>0</v>
      </c>
    </row>
    <row r="101" spans="1:22" ht="25.5" x14ac:dyDescent="0.2">
      <c r="A101" s="16" t="s">
        <v>189</v>
      </c>
      <c r="B101" s="23"/>
      <c r="C101" s="23"/>
      <c r="D101" s="23"/>
      <c r="E101" s="23"/>
      <c r="F101" s="23"/>
      <c r="G101" s="6"/>
      <c r="H101" s="104">
        <v>25700</v>
      </c>
      <c r="I101" s="59"/>
      <c r="J101" s="24"/>
      <c r="K101" s="47"/>
      <c r="L101" s="104">
        <v>0</v>
      </c>
      <c r="M101" s="59"/>
      <c r="N101" s="24"/>
      <c r="O101" s="106">
        <v>0</v>
      </c>
      <c r="P101" s="56"/>
      <c r="Q101" s="24"/>
      <c r="R101" s="23">
        <v>0</v>
      </c>
      <c r="S101" s="56"/>
      <c r="T101" s="56"/>
      <c r="U101" s="24"/>
      <c r="V101" s="101">
        <f t="shared" si="4"/>
        <v>0</v>
      </c>
    </row>
    <row r="102" spans="1:22" ht="25.5" x14ac:dyDescent="0.2">
      <c r="A102" s="16" t="s">
        <v>190</v>
      </c>
      <c r="B102" s="23"/>
      <c r="C102" s="23"/>
      <c r="D102" s="23"/>
      <c r="E102" s="23"/>
      <c r="F102" s="23"/>
      <c r="G102" s="6"/>
      <c r="H102" s="6">
        <v>40000</v>
      </c>
      <c r="I102" s="59"/>
      <c r="J102" s="24"/>
      <c r="K102" s="23"/>
      <c r="L102" s="6">
        <v>0</v>
      </c>
      <c r="M102" s="59"/>
      <c r="N102" s="24"/>
      <c r="O102" s="23">
        <v>0</v>
      </c>
      <c r="P102" s="56"/>
      <c r="Q102" s="24"/>
      <c r="R102" s="23">
        <v>0</v>
      </c>
      <c r="S102" s="56"/>
      <c r="T102" s="56"/>
      <c r="U102" s="24"/>
      <c r="V102" s="101">
        <f t="shared" si="4"/>
        <v>0</v>
      </c>
    </row>
    <row r="103" spans="1:22" ht="38.25" x14ac:dyDescent="0.2">
      <c r="A103" s="16" t="s">
        <v>191</v>
      </c>
      <c r="B103" s="23"/>
      <c r="C103" s="23"/>
      <c r="D103" s="23"/>
      <c r="E103" s="23"/>
      <c r="F103" s="23"/>
      <c r="G103" s="6"/>
      <c r="H103" s="104">
        <v>500</v>
      </c>
      <c r="I103" s="59"/>
      <c r="J103" s="24"/>
      <c r="K103" s="23"/>
      <c r="L103" s="104">
        <v>50639</v>
      </c>
      <c r="M103" s="59"/>
      <c r="N103" s="24"/>
      <c r="O103" s="23">
        <v>0</v>
      </c>
      <c r="P103" s="56"/>
      <c r="Q103" s="24"/>
      <c r="R103" s="23">
        <v>0</v>
      </c>
      <c r="S103" s="56"/>
      <c r="T103" s="56"/>
      <c r="U103" s="24"/>
      <c r="V103" s="101">
        <f t="shared" si="4"/>
        <v>0</v>
      </c>
    </row>
    <row r="104" spans="1:22" ht="38.25" x14ac:dyDescent="0.2">
      <c r="A104" s="16" t="s">
        <v>192</v>
      </c>
      <c r="B104" s="23"/>
      <c r="C104" s="23"/>
      <c r="D104" s="23"/>
      <c r="E104" s="23"/>
      <c r="F104" s="23"/>
      <c r="G104" s="6"/>
      <c r="H104" s="104">
        <v>6200</v>
      </c>
      <c r="I104" s="59"/>
      <c r="J104" s="24"/>
      <c r="K104" s="23"/>
      <c r="L104" s="104">
        <v>0</v>
      </c>
      <c r="M104" s="59"/>
      <c r="N104" s="24"/>
      <c r="O104" s="23">
        <v>0</v>
      </c>
      <c r="P104" s="56"/>
      <c r="Q104" s="24"/>
      <c r="R104" s="23">
        <v>0</v>
      </c>
      <c r="S104" s="56"/>
      <c r="T104" s="56"/>
      <c r="U104" s="24"/>
      <c r="V104" s="101">
        <f t="shared" si="4"/>
        <v>0</v>
      </c>
    </row>
    <row r="105" spans="1:22" ht="25.5" x14ac:dyDescent="0.2">
      <c r="A105" s="16" t="s">
        <v>193</v>
      </c>
      <c r="B105" s="23"/>
      <c r="C105" s="23"/>
      <c r="D105" s="23"/>
      <c r="E105" s="23"/>
      <c r="F105" s="23"/>
      <c r="G105" s="6"/>
      <c r="H105" s="104">
        <v>0</v>
      </c>
      <c r="I105" s="59"/>
      <c r="J105" s="24"/>
      <c r="K105" s="47"/>
      <c r="L105" s="104">
        <v>0</v>
      </c>
      <c r="M105" s="59"/>
      <c r="N105" s="24"/>
      <c r="O105" s="23">
        <v>100000</v>
      </c>
      <c r="P105" s="56"/>
      <c r="Q105" s="24"/>
      <c r="R105" s="23">
        <v>100000</v>
      </c>
      <c r="S105" s="56"/>
      <c r="T105" s="56"/>
      <c r="U105" s="24"/>
      <c r="V105" s="101">
        <f t="shared" si="4"/>
        <v>0</v>
      </c>
    </row>
    <row r="106" spans="1:22" s="8" customFormat="1" x14ac:dyDescent="0.2">
      <c r="A106" s="17" t="s">
        <v>28</v>
      </c>
      <c r="B106" s="25">
        <f t="shared" ref="B106:R106" si="5">SUM(B64:B105)</f>
        <v>0</v>
      </c>
      <c r="C106" s="25">
        <f t="shared" si="5"/>
        <v>26405.047129999999</v>
      </c>
      <c r="D106" s="25">
        <f t="shared" si="5"/>
        <v>11784.489999999998</v>
      </c>
      <c r="E106" s="25">
        <f t="shared" si="5"/>
        <v>26992.61</v>
      </c>
      <c r="F106" s="25">
        <f t="shared" si="5"/>
        <v>162175.28</v>
      </c>
      <c r="G106" s="1">
        <f t="shared" si="5"/>
        <v>359.74</v>
      </c>
      <c r="H106" s="1">
        <f t="shared" si="5"/>
        <v>277769</v>
      </c>
      <c r="I106" s="60">
        <f t="shared" si="5"/>
        <v>38176.69</v>
      </c>
      <c r="J106" s="63">
        <f t="shared" si="5"/>
        <v>14400.970000000001</v>
      </c>
      <c r="K106" s="25">
        <f t="shared" si="5"/>
        <v>0</v>
      </c>
      <c r="L106" s="1">
        <f t="shared" si="5"/>
        <v>269657</v>
      </c>
      <c r="M106" s="1">
        <f t="shared" si="5"/>
        <v>115020</v>
      </c>
      <c r="N106" s="1">
        <f t="shared" si="5"/>
        <v>17673</v>
      </c>
      <c r="O106" s="25">
        <f t="shared" si="5"/>
        <v>167000</v>
      </c>
      <c r="P106" s="15">
        <f t="shared" si="5"/>
        <v>40930</v>
      </c>
      <c r="Q106" s="26">
        <f t="shared" si="5"/>
        <v>168481</v>
      </c>
      <c r="R106" s="25">
        <f t="shared" si="5"/>
        <v>100000</v>
      </c>
      <c r="S106" s="15"/>
      <c r="T106" s="15">
        <f>SUM(T64:T105)</f>
        <v>12400</v>
      </c>
      <c r="U106" s="26">
        <f>SUM(U64:U105)</f>
        <v>16600</v>
      </c>
      <c r="V106" s="101">
        <f t="shared" si="4"/>
        <v>568.64713000002666</v>
      </c>
    </row>
    <row r="107" spans="1:22" s="37" customFormat="1" x14ac:dyDescent="0.2">
      <c r="A107" s="40" t="s">
        <v>91</v>
      </c>
      <c r="B107" s="43"/>
      <c r="C107" s="43"/>
      <c r="D107" s="43"/>
      <c r="E107" s="43"/>
      <c r="F107" s="43"/>
      <c r="G107" s="44"/>
      <c r="H107" s="45"/>
      <c r="I107" s="58"/>
      <c r="J107" s="46"/>
      <c r="K107" s="43"/>
      <c r="L107" s="45"/>
      <c r="M107" s="58"/>
      <c r="N107" s="46"/>
      <c r="O107" s="43"/>
      <c r="P107" s="99">
        <v>0</v>
      </c>
      <c r="Q107" s="97">
        <v>0</v>
      </c>
      <c r="R107" s="23"/>
      <c r="S107" s="56"/>
      <c r="T107" s="56"/>
      <c r="U107" s="24"/>
      <c r="V107" s="101">
        <f t="shared" si="4"/>
        <v>0</v>
      </c>
    </row>
    <row r="108" spans="1:22" s="37" customFormat="1" ht="25.5" x14ac:dyDescent="0.2">
      <c r="A108" s="72" t="s">
        <v>144</v>
      </c>
      <c r="B108" s="43"/>
      <c r="C108" s="43"/>
      <c r="D108" s="43">
        <v>19688.03</v>
      </c>
      <c r="E108" s="43"/>
      <c r="F108" s="43"/>
      <c r="G108" s="44"/>
      <c r="H108" s="45"/>
      <c r="I108" s="58"/>
      <c r="J108" s="46">
        <v>19688.04</v>
      </c>
      <c r="K108" s="43"/>
      <c r="L108" s="45"/>
      <c r="M108" s="58"/>
      <c r="N108" s="46"/>
      <c r="O108" s="43"/>
      <c r="P108" s="55"/>
      <c r="Q108" s="46"/>
      <c r="R108" s="23"/>
      <c r="S108" s="56"/>
      <c r="T108" s="56"/>
      <c r="U108" s="24"/>
      <c r="V108" s="101">
        <f t="shared" si="4"/>
        <v>-1.0000000002037268E-2</v>
      </c>
    </row>
    <row r="109" spans="1:22" s="8" customFormat="1" x14ac:dyDescent="0.2">
      <c r="A109" s="100" t="s">
        <v>165</v>
      </c>
      <c r="B109" s="43"/>
      <c r="C109" s="43"/>
      <c r="D109" s="43"/>
      <c r="E109" s="43"/>
      <c r="F109" s="43"/>
      <c r="G109" s="44"/>
      <c r="H109" s="45"/>
      <c r="I109" s="58">
        <v>0</v>
      </c>
      <c r="J109" s="46"/>
      <c r="K109" s="43"/>
      <c r="L109" s="45"/>
      <c r="M109" s="96">
        <v>45900</v>
      </c>
      <c r="N109" s="96">
        <v>28000</v>
      </c>
      <c r="O109" s="43"/>
      <c r="P109" s="99">
        <v>2520</v>
      </c>
      <c r="Q109" s="97">
        <v>20420</v>
      </c>
      <c r="R109" s="43"/>
      <c r="S109" s="55"/>
      <c r="T109" s="55"/>
      <c r="U109" s="46"/>
      <c r="V109" s="101">
        <f t="shared" si="4"/>
        <v>0</v>
      </c>
    </row>
    <row r="110" spans="1:22" s="8" customFormat="1" x14ac:dyDescent="0.2">
      <c r="A110" s="100" t="s">
        <v>166</v>
      </c>
      <c r="B110" s="43"/>
      <c r="C110" s="43"/>
      <c r="D110" s="43"/>
      <c r="E110" s="43"/>
      <c r="F110" s="43"/>
      <c r="G110" s="44"/>
      <c r="H110" s="45"/>
      <c r="I110" s="58">
        <v>0</v>
      </c>
      <c r="J110" s="46"/>
      <c r="K110" s="43"/>
      <c r="L110" s="45"/>
      <c r="M110" s="96">
        <v>14989</v>
      </c>
      <c r="N110" s="96">
        <v>14989</v>
      </c>
      <c r="O110" s="43"/>
      <c r="P110" s="55"/>
      <c r="Q110" s="46"/>
      <c r="R110" s="43"/>
      <c r="S110" s="55"/>
      <c r="T110" s="55"/>
      <c r="U110" s="46"/>
      <c r="V110" s="101">
        <f t="shared" si="4"/>
        <v>0</v>
      </c>
    </row>
    <row r="111" spans="1:22" s="8" customFormat="1" x14ac:dyDescent="0.2">
      <c r="A111" s="100" t="s">
        <v>167</v>
      </c>
      <c r="B111" s="43"/>
      <c r="C111" s="43"/>
      <c r="D111" s="43"/>
      <c r="E111" s="43"/>
      <c r="F111" s="43"/>
      <c r="G111" s="44"/>
      <c r="H111" s="45"/>
      <c r="I111" s="58">
        <v>0</v>
      </c>
      <c r="J111" s="46"/>
      <c r="K111" s="43"/>
      <c r="L111" s="45"/>
      <c r="M111" s="96">
        <v>0</v>
      </c>
      <c r="N111" s="58"/>
      <c r="O111" s="43"/>
      <c r="P111" s="99">
        <v>23000</v>
      </c>
      <c r="Q111" s="97">
        <v>23000</v>
      </c>
      <c r="R111" s="43"/>
      <c r="S111" s="55"/>
      <c r="T111" s="55"/>
      <c r="U111" s="46"/>
      <c r="V111" s="101">
        <f t="shared" si="4"/>
        <v>0</v>
      </c>
    </row>
    <row r="112" spans="1:22" x14ac:dyDescent="0.2">
      <c r="A112" s="20" t="s">
        <v>19</v>
      </c>
      <c r="B112" s="23"/>
      <c r="C112" s="23"/>
      <c r="D112" s="23"/>
      <c r="E112" s="23"/>
      <c r="F112" s="23"/>
      <c r="G112" s="6"/>
      <c r="H112" s="7">
        <v>41000</v>
      </c>
      <c r="I112" s="62"/>
      <c r="J112" s="32"/>
      <c r="K112" s="23"/>
      <c r="L112" s="6"/>
      <c r="M112" s="59"/>
      <c r="N112" s="24"/>
      <c r="O112" s="23"/>
      <c r="P112" s="56"/>
      <c r="Q112" s="24"/>
      <c r="R112" s="23"/>
      <c r="S112" s="56"/>
      <c r="T112" s="56"/>
      <c r="U112" s="24"/>
      <c r="V112" s="101">
        <f t="shared" si="4"/>
        <v>0</v>
      </c>
    </row>
    <row r="113" spans="1:22" x14ac:dyDescent="0.2">
      <c r="A113" s="20" t="s">
        <v>20</v>
      </c>
      <c r="B113" s="23"/>
      <c r="C113" s="23"/>
      <c r="D113" s="23"/>
      <c r="E113" s="23"/>
      <c r="F113" s="23"/>
      <c r="G113" s="6"/>
      <c r="H113" s="6">
        <v>115000</v>
      </c>
      <c r="I113" s="59"/>
      <c r="J113" s="24"/>
      <c r="K113" s="47"/>
      <c r="L113" s="6">
        <v>69416</v>
      </c>
      <c r="M113" s="59"/>
      <c r="N113" s="24"/>
      <c r="O113" s="23"/>
      <c r="P113" s="56"/>
      <c r="Q113" s="24"/>
      <c r="R113" s="23"/>
      <c r="S113" s="56"/>
      <c r="T113" s="56"/>
      <c r="U113" s="24"/>
      <c r="V113" s="101">
        <f t="shared" si="4"/>
        <v>0</v>
      </c>
    </row>
    <row r="114" spans="1:22" x14ac:dyDescent="0.2">
      <c r="A114" s="20" t="s">
        <v>21</v>
      </c>
      <c r="B114" s="23"/>
      <c r="C114" s="23"/>
      <c r="D114" s="23"/>
      <c r="E114" s="23"/>
      <c r="F114" s="23"/>
      <c r="G114" s="6"/>
      <c r="H114" s="6">
        <v>3500</v>
      </c>
      <c r="I114" s="59"/>
      <c r="J114" s="24"/>
      <c r="K114" s="47"/>
      <c r="L114" s="6">
        <v>15500</v>
      </c>
      <c r="M114" s="59"/>
      <c r="N114" s="24"/>
      <c r="O114" s="23"/>
      <c r="P114" s="56"/>
      <c r="Q114" s="24"/>
      <c r="R114" s="23"/>
      <c r="S114" s="56"/>
      <c r="T114" s="56"/>
      <c r="U114" s="24"/>
      <c r="V114" s="101">
        <f t="shared" si="4"/>
        <v>0</v>
      </c>
    </row>
    <row r="115" spans="1:22" x14ac:dyDescent="0.2">
      <c r="A115" s="20" t="s">
        <v>22</v>
      </c>
      <c r="B115" s="23"/>
      <c r="C115" s="23"/>
      <c r="D115" s="23"/>
      <c r="E115" s="23"/>
      <c r="F115" s="23"/>
      <c r="G115" s="6"/>
      <c r="H115" s="6">
        <f>1000+2500</f>
        <v>3500</v>
      </c>
      <c r="I115" s="59"/>
      <c r="J115" s="24"/>
      <c r="K115" s="23"/>
      <c r="L115" s="6">
        <f>32500-2500</f>
        <v>30000</v>
      </c>
      <c r="M115" s="59"/>
      <c r="N115" s="24"/>
      <c r="O115" s="23"/>
      <c r="P115" s="56"/>
      <c r="Q115" s="24"/>
      <c r="R115" s="23"/>
      <c r="S115" s="56"/>
      <c r="T115" s="56"/>
      <c r="U115" s="24"/>
      <c r="V115" s="101">
        <f t="shared" si="4"/>
        <v>0</v>
      </c>
    </row>
    <row r="116" spans="1:22" s="8" customFormat="1" x14ac:dyDescent="0.2">
      <c r="A116" s="17" t="s">
        <v>29</v>
      </c>
      <c r="B116" s="25">
        <f t="shared" ref="B116:R116" si="6">SUM(B107:B115)</f>
        <v>0</v>
      </c>
      <c r="C116" s="25">
        <f>SUM(C107:C115)</f>
        <v>0</v>
      </c>
      <c r="D116" s="25">
        <f t="shared" si="6"/>
        <v>19688.03</v>
      </c>
      <c r="E116" s="25">
        <f t="shared" si="6"/>
        <v>0</v>
      </c>
      <c r="F116" s="25">
        <f t="shared" si="6"/>
        <v>0</v>
      </c>
      <c r="G116" s="1">
        <f t="shared" si="6"/>
        <v>0</v>
      </c>
      <c r="H116" s="1">
        <f t="shared" si="6"/>
        <v>163000</v>
      </c>
      <c r="I116" s="60">
        <f t="shared" si="6"/>
        <v>0</v>
      </c>
      <c r="J116" s="63">
        <f t="shared" si="6"/>
        <v>19688.04</v>
      </c>
      <c r="K116" s="25">
        <f t="shared" si="6"/>
        <v>0</v>
      </c>
      <c r="L116" s="1">
        <f t="shared" si="6"/>
        <v>114916</v>
      </c>
      <c r="M116" s="1">
        <f t="shared" si="6"/>
        <v>60889</v>
      </c>
      <c r="N116" s="26">
        <f t="shared" si="6"/>
        <v>42989</v>
      </c>
      <c r="O116" s="25">
        <f t="shared" si="6"/>
        <v>0</v>
      </c>
      <c r="P116" s="15">
        <f t="shared" si="6"/>
        <v>25520</v>
      </c>
      <c r="Q116" s="26">
        <f t="shared" si="6"/>
        <v>43420</v>
      </c>
      <c r="R116" s="25">
        <f t="shared" si="6"/>
        <v>0</v>
      </c>
      <c r="S116" s="15"/>
      <c r="T116" s="15">
        <f>SUM(T107:T115)</f>
        <v>0</v>
      </c>
      <c r="U116" s="26">
        <f>SUM(U107:U115)</f>
        <v>0</v>
      </c>
      <c r="V116" s="101">
        <f t="shared" si="4"/>
        <v>-1.0000000009313226E-2</v>
      </c>
    </row>
    <row r="117" spans="1:22" s="37" customFormat="1" x14ac:dyDescent="0.2">
      <c r="A117" s="41" t="s">
        <v>109</v>
      </c>
      <c r="B117" s="43"/>
      <c r="C117" s="43"/>
      <c r="D117" s="43"/>
      <c r="E117" s="43"/>
      <c r="F117" s="43"/>
      <c r="G117" s="44"/>
      <c r="H117" s="45"/>
      <c r="I117" s="58"/>
      <c r="J117" s="46"/>
      <c r="K117" s="43"/>
      <c r="L117" s="45"/>
      <c r="M117" s="58"/>
      <c r="N117" s="46"/>
      <c r="O117" s="43"/>
      <c r="P117" s="55"/>
      <c r="Q117" s="46"/>
      <c r="R117" s="43"/>
      <c r="S117" s="55"/>
      <c r="T117" s="55"/>
      <c r="U117" s="46"/>
      <c r="V117" s="101">
        <f t="shared" si="4"/>
        <v>0</v>
      </c>
    </row>
    <row r="118" spans="1:22" s="37" customFormat="1" x14ac:dyDescent="0.2">
      <c r="A118" s="41" t="s">
        <v>110</v>
      </c>
      <c r="B118" s="43"/>
      <c r="C118" s="43"/>
      <c r="D118" s="43">
        <v>205.7</v>
      </c>
      <c r="E118" s="43"/>
      <c r="F118" s="43"/>
      <c r="G118" s="44"/>
      <c r="H118" s="45"/>
      <c r="I118" s="58">
        <f>13000+106.48</f>
        <v>13106.48</v>
      </c>
      <c r="J118" s="46">
        <v>5000</v>
      </c>
      <c r="K118" s="43"/>
      <c r="L118" s="45"/>
      <c r="M118" s="58">
        <v>30000</v>
      </c>
      <c r="N118" s="46">
        <v>30200</v>
      </c>
      <c r="O118" s="43"/>
      <c r="P118" s="55">
        <v>2276</v>
      </c>
      <c r="Q118" s="46">
        <v>10388</v>
      </c>
      <c r="R118" s="43"/>
      <c r="S118" s="55"/>
      <c r="T118" s="55"/>
      <c r="U118" s="46"/>
      <c r="V118" s="101">
        <f t="shared" si="4"/>
        <v>0.18000000000029104</v>
      </c>
    </row>
    <row r="119" spans="1:22" s="8" customFormat="1" x14ac:dyDescent="0.2">
      <c r="A119" s="17" t="s">
        <v>32</v>
      </c>
      <c r="B119" s="25">
        <f t="shared" ref="B119:R119" si="7">SUM(B117:B118)</f>
        <v>0</v>
      </c>
      <c r="C119" s="25">
        <f t="shared" si="7"/>
        <v>0</v>
      </c>
      <c r="D119" s="25">
        <f t="shared" si="7"/>
        <v>205.7</v>
      </c>
      <c r="E119" s="25">
        <f t="shared" si="7"/>
        <v>0</v>
      </c>
      <c r="F119" s="25">
        <f t="shared" si="7"/>
        <v>0</v>
      </c>
      <c r="G119" s="1">
        <f t="shared" si="7"/>
        <v>0</v>
      </c>
      <c r="H119" s="1">
        <f t="shared" si="7"/>
        <v>0</v>
      </c>
      <c r="I119" s="60">
        <f t="shared" si="7"/>
        <v>13106.48</v>
      </c>
      <c r="J119" s="63">
        <f t="shared" si="7"/>
        <v>5000</v>
      </c>
      <c r="K119" s="25">
        <f t="shared" si="7"/>
        <v>0</v>
      </c>
      <c r="L119" s="1">
        <f t="shared" si="7"/>
        <v>0</v>
      </c>
      <c r="M119" s="1">
        <f t="shared" si="7"/>
        <v>30000</v>
      </c>
      <c r="N119" s="26">
        <f t="shared" si="7"/>
        <v>30200</v>
      </c>
      <c r="O119" s="25">
        <f t="shared" si="7"/>
        <v>0</v>
      </c>
      <c r="P119" s="15">
        <f t="shared" si="7"/>
        <v>2276</v>
      </c>
      <c r="Q119" s="26">
        <f t="shared" si="7"/>
        <v>10388</v>
      </c>
      <c r="R119" s="25">
        <f t="shared" si="7"/>
        <v>0</v>
      </c>
      <c r="S119" s="15"/>
      <c r="T119" s="15">
        <f>SUM(T117:T118)</f>
        <v>0</v>
      </c>
      <c r="U119" s="26">
        <f>SUM(U117:U118)</f>
        <v>0</v>
      </c>
      <c r="V119" s="101">
        <f t="shared" si="4"/>
        <v>0.18000000000029104</v>
      </c>
    </row>
    <row r="120" spans="1:22" s="37" customFormat="1" x14ac:dyDescent="0.2">
      <c r="A120" s="42" t="s">
        <v>98</v>
      </c>
      <c r="B120" s="43"/>
      <c r="C120" s="43"/>
      <c r="D120" s="43"/>
      <c r="E120" s="43"/>
      <c r="F120" s="43"/>
      <c r="G120" s="44"/>
      <c r="H120" s="45"/>
      <c r="I120" s="58"/>
      <c r="J120" s="46"/>
      <c r="K120" s="43"/>
      <c r="L120" s="45"/>
      <c r="M120" s="58">
        <v>25700</v>
      </c>
      <c r="N120" s="46">
        <v>0</v>
      </c>
      <c r="O120" s="43"/>
      <c r="P120" s="55">
        <v>40000</v>
      </c>
      <c r="Q120" s="46">
        <v>65700</v>
      </c>
      <c r="R120" s="43"/>
      <c r="S120" s="55"/>
      <c r="T120" s="55"/>
      <c r="U120" s="46"/>
      <c r="V120" s="101">
        <f t="shared" si="4"/>
        <v>0</v>
      </c>
    </row>
    <row r="121" spans="1:22" s="37" customFormat="1" ht="25.5" x14ac:dyDescent="0.2">
      <c r="A121" s="42" t="s">
        <v>99</v>
      </c>
      <c r="B121" s="43"/>
      <c r="C121" s="43"/>
      <c r="D121" s="43"/>
      <c r="E121" s="43"/>
      <c r="F121" s="43"/>
      <c r="G121" s="44"/>
      <c r="H121" s="45"/>
      <c r="I121" s="58"/>
      <c r="J121" s="46"/>
      <c r="K121" s="43"/>
      <c r="L121" s="45"/>
      <c r="M121" s="58">
        <v>0</v>
      </c>
      <c r="N121" s="46"/>
      <c r="O121" s="43"/>
      <c r="P121" s="55"/>
      <c r="Q121" s="46"/>
      <c r="R121" s="43"/>
      <c r="S121" s="55"/>
      <c r="T121" s="55"/>
      <c r="U121" s="46"/>
      <c r="V121" s="101">
        <f t="shared" si="4"/>
        <v>0</v>
      </c>
    </row>
    <row r="122" spans="1:22" s="37" customFormat="1" x14ac:dyDescent="0.2">
      <c r="A122" s="42" t="s">
        <v>100</v>
      </c>
      <c r="B122" s="43"/>
      <c r="C122" s="43"/>
      <c r="D122" s="43"/>
      <c r="E122" s="43"/>
      <c r="F122" s="43"/>
      <c r="G122" s="44"/>
      <c r="H122" s="45"/>
      <c r="I122" s="58"/>
      <c r="J122" s="46"/>
      <c r="K122" s="43"/>
      <c r="L122" s="45"/>
      <c r="M122" s="58">
        <v>41800</v>
      </c>
      <c r="N122" s="46">
        <v>20000</v>
      </c>
      <c r="O122" s="43"/>
      <c r="P122" s="55">
        <v>42500</v>
      </c>
      <c r="Q122" s="46">
        <v>64300</v>
      </c>
      <c r="R122" s="43"/>
      <c r="S122" s="55"/>
      <c r="T122" s="55"/>
      <c r="U122" s="46"/>
      <c r="V122" s="101">
        <f t="shared" si="4"/>
        <v>0</v>
      </c>
    </row>
    <row r="123" spans="1:22" x14ac:dyDescent="0.2">
      <c r="A123" s="40" t="s">
        <v>92</v>
      </c>
      <c r="B123" s="23"/>
      <c r="C123" s="23"/>
      <c r="D123" s="23"/>
      <c r="E123" s="23"/>
      <c r="F123" s="23"/>
      <c r="G123" s="6"/>
      <c r="H123" s="6"/>
      <c r="I123" s="59"/>
      <c r="J123" s="24"/>
      <c r="K123" s="23"/>
      <c r="L123" s="6"/>
      <c r="M123" s="59"/>
      <c r="N123" s="24"/>
      <c r="O123" s="23"/>
      <c r="P123" s="56">
        <v>141437</v>
      </c>
      <c r="Q123" s="24">
        <v>141437</v>
      </c>
      <c r="R123" s="23"/>
      <c r="S123" s="56"/>
      <c r="T123" s="56"/>
      <c r="U123" s="24"/>
      <c r="V123" s="101">
        <f t="shared" si="4"/>
        <v>0</v>
      </c>
    </row>
    <row r="124" spans="1:22" s="8" customFormat="1" x14ac:dyDescent="0.2">
      <c r="A124" s="17" t="s">
        <v>93</v>
      </c>
      <c r="B124" s="25">
        <f t="shared" ref="B124:R124" si="8">SUM(B120:B123)</f>
        <v>0</v>
      </c>
      <c r="C124" s="25">
        <f t="shared" si="8"/>
        <v>0</v>
      </c>
      <c r="D124" s="25">
        <f t="shared" si="8"/>
        <v>0</v>
      </c>
      <c r="E124" s="25">
        <f t="shared" si="8"/>
        <v>0</v>
      </c>
      <c r="F124" s="25">
        <f t="shared" si="8"/>
        <v>0</v>
      </c>
      <c r="G124" s="1">
        <f t="shared" si="8"/>
        <v>0</v>
      </c>
      <c r="H124" s="1">
        <f t="shared" si="8"/>
        <v>0</v>
      </c>
      <c r="I124" s="60">
        <f t="shared" si="8"/>
        <v>0</v>
      </c>
      <c r="J124" s="63">
        <f t="shared" si="8"/>
        <v>0</v>
      </c>
      <c r="K124" s="25">
        <f t="shared" si="8"/>
        <v>0</v>
      </c>
      <c r="L124" s="1">
        <f t="shared" si="8"/>
        <v>0</v>
      </c>
      <c r="M124" s="1">
        <f t="shared" si="8"/>
        <v>67500</v>
      </c>
      <c r="N124" s="26">
        <f t="shared" si="8"/>
        <v>20000</v>
      </c>
      <c r="O124" s="25">
        <f t="shared" si="8"/>
        <v>0</v>
      </c>
      <c r="P124" s="15">
        <f t="shared" si="8"/>
        <v>223937</v>
      </c>
      <c r="Q124" s="26">
        <f t="shared" si="8"/>
        <v>271437</v>
      </c>
      <c r="R124" s="25">
        <f t="shared" si="8"/>
        <v>0</v>
      </c>
      <c r="S124" s="15"/>
      <c r="T124" s="15">
        <f>SUM(T120:T123)</f>
        <v>0</v>
      </c>
      <c r="U124" s="26">
        <f>SUM(U120:U123)</f>
        <v>0</v>
      </c>
      <c r="V124" s="101">
        <f t="shared" si="4"/>
        <v>0</v>
      </c>
    </row>
    <row r="125" spans="1:22" s="37" customFormat="1" x14ac:dyDescent="0.2">
      <c r="A125" s="41" t="s">
        <v>111</v>
      </c>
      <c r="B125" s="43"/>
      <c r="C125" s="43"/>
      <c r="D125" s="43"/>
      <c r="E125" s="43"/>
      <c r="F125" s="43"/>
      <c r="G125" s="44"/>
      <c r="H125" s="45"/>
      <c r="I125" s="58"/>
      <c r="J125" s="46"/>
      <c r="K125" s="43"/>
      <c r="L125" s="89">
        <v>7543</v>
      </c>
      <c r="M125" s="58">
        <v>42000</v>
      </c>
      <c r="N125" s="46"/>
      <c r="O125" s="90">
        <v>28670</v>
      </c>
      <c r="P125" s="55">
        <v>156000</v>
      </c>
      <c r="Q125" s="46">
        <v>198000</v>
      </c>
      <c r="R125" s="43"/>
      <c r="S125" s="55"/>
      <c r="T125" s="55"/>
      <c r="U125" s="46"/>
      <c r="V125" s="101">
        <f t="shared" si="4"/>
        <v>0</v>
      </c>
    </row>
    <row r="126" spans="1:22" s="8" customFormat="1" x14ac:dyDescent="0.2">
      <c r="A126" s="17" t="s">
        <v>112</v>
      </c>
      <c r="B126" s="1">
        <f t="shared" ref="B126:U126" si="9">SUBTOTAL(9,B125)</f>
        <v>0</v>
      </c>
      <c r="C126" s="1">
        <f t="shared" si="9"/>
        <v>0</v>
      </c>
      <c r="D126" s="1">
        <f t="shared" si="9"/>
        <v>0</v>
      </c>
      <c r="E126" s="1">
        <f t="shared" si="9"/>
        <v>0</v>
      </c>
      <c r="F126" s="1">
        <f t="shared" si="9"/>
        <v>0</v>
      </c>
      <c r="G126" s="1">
        <f t="shared" si="9"/>
        <v>0</v>
      </c>
      <c r="H126" s="1">
        <f t="shared" si="9"/>
        <v>0</v>
      </c>
      <c r="I126" s="60">
        <f t="shared" si="9"/>
        <v>0</v>
      </c>
      <c r="J126" s="63">
        <f t="shared" si="9"/>
        <v>0</v>
      </c>
      <c r="K126" s="25">
        <f t="shared" si="9"/>
        <v>0</v>
      </c>
      <c r="L126" s="1">
        <f t="shared" si="9"/>
        <v>7543</v>
      </c>
      <c r="M126" s="1">
        <f t="shared" si="9"/>
        <v>42000</v>
      </c>
      <c r="N126" s="26">
        <f t="shared" si="9"/>
        <v>0</v>
      </c>
      <c r="O126" s="25">
        <f t="shared" si="9"/>
        <v>28670</v>
      </c>
      <c r="P126" s="15">
        <f>SUM(P125)</f>
        <v>156000</v>
      </c>
      <c r="Q126" s="26">
        <f t="shared" si="9"/>
        <v>198000</v>
      </c>
      <c r="R126" s="25">
        <f t="shared" si="9"/>
        <v>0</v>
      </c>
      <c r="S126" s="15"/>
      <c r="T126" s="15">
        <f>SUM(T125)</f>
        <v>0</v>
      </c>
      <c r="U126" s="26">
        <f t="shared" si="9"/>
        <v>0</v>
      </c>
      <c r="V126" s="101">
        <f t="shared" si="4"/>
        <v>0</v>
      </c>
    </row>
    <row r="127" spans="1:22" s="8" customFormat="1" ht="18.75" customHeight="1" x14ac:dyDescent="0.2">
      <c r="A127" s="73"/>
      <c r="B127" s="74">
        <f t="shared" ref="B127:R127" si="10">B126+B124+B119+B116+B106+B63+B50+B35</f>
        <v>0</v>
      </c>
      <c r="C127" s="74">
        <f t="shared" si="10"/>
        <v>459878.44561000005</v>
      </c>
      <c r="D127" s="74">
        <f t="shared" si="10"/>
        <v>312288.5</v>
      </c>
      <c r="E127" s="74">
        <f t="shared" si="10"/>
        <v>331976.3</v>
      </c>
      <c r="F127" s="74">
        <f t="shared" si="10"/>
        <v>199479.2</v>
      </c>
      <c r="G127" s="74">
        <f t="shared" si="10"/>
        <v>1028.5999999999999</v>
      </c>
      <c r="H127" s="74">
        <f t="shared" si="10"/>
        <v>659255.73</v>
      </c>
      <c r="I127" s="74">
        <f t="shared" si="10"/>
        <v>414616.24</v>
      </c>
      <c r="J127" s="74">
        <f t="shared" si="10"/>
        <v>477862.83000000007</v>
      </c>
      <c r="K127" s="74">
        <f t="shared" si="10"/>
        <v>0</v>
      </c>
      <c r="L127" s="74">
        <f t="shared" si="10"/>
        <v>951407</v>
      </c>
      <c r="M127" s="74">
        <f t="shared" si="10"/>
        <v>1022913.5800000001</v>
      </c>
      <c r="N127" s="74">
        <f t="shared" si="10"/>
        <v>487426</v>
      </c>
      <c r="O127" s="74">
        <f t="shared" si="10"/>
        <v>859000</v>
      </c>
      <c r="P127" s="74">
        <f t="shared" si="10"/>
        <v>925796</v>
      </c>
      <c r="Q127" s="74">
        <f t="shared" si="10"/>
        <v>1703073</v>
      </c>
      <c r="R127" s="74">
        <f t="shared" si="10"/>
        <v>388710</v>
      </c>
      <c r="S127" s="75"/>
      <c r="T127" s="74">
        <f>T126+T124+T119+T116+T106+T63+T50+T35</f>
        <v>12400</v>
      </c>
      <c r="U127" s="74">
        <f>U126+U124+U119+U116+U106+U63+U50+U35</f>
        <v>142215</v>
      </c>
      <c r="V127" s="101">
        <f t="shared" si="4"/>
        <v>5339.6356100002304</v>
      </c>
    </row>
    <row r="128" spans="1:22" s="8" customFormat="1" x14ac:dyDescent="0.2">
      <c r="A128" s="2"/>
      <c r="B128" s="29"/>
      <c r="C128" s="29"/>
      <c r="D128" s="29"/>
      <c r="E128" s="29"/>
      <c r="F128" s="29"/>
      <c r="G128" s="3"/>
      <c r="H128" s="3"/>
      <c r="I128" s="3"/>
      <c r="J128" s="64"/>
      <c r="K128" s="29"/>
      <c r="L128" s="3"/>
      <c r="M128" s="3"/>
      <c r="N128" s="30"/>
      <c r="O128" s="29"/>
      <c r="P128" s="3"/>
      <c r="Q128" s="30"/>
      <c r="R128" s="29"/>
      <c r="S128" s="3"/>
      <c r="T128" s="3"/>
      <c r="U128" s="30"/>
      <c r="V128" s="101">
        <f t="shared" si="4"/>
        <v>0</v>
      </c>
    </row>
    <row r="129" spans="1:22" s="8" customFormat="1" ht="38.25" x14ac:dyDescent="0.2">
      <c r="A129" s="51" t="s">
        <v>137</v>
      </c>
      <c r="B129" s="66"/>
      <c r="C129" s="66"/>
      <c r="D129" s="66"/>
      <c r="E129" s="66"/>
      <c r="F129" s="66"/>
      <c r="G129" s="67"/>
      <c r="H129" s="67"/>
      <c r="I129" s="68"/>
      <c r="J129" s="69"/>
      <c r="K129" s="66"/>
      <c r="L129" s="67"/>
      <c r="M129" s="68"/>
      <c r="N129" s="69"/>
      <c r="O129" s="66"/>
      <c r="P129" s="70"/>
      <c r="Q129" s="69"/>
      <c r="R129" s="66"/>
      <c r="S129" s="70"/>
      <c r="T129" s="70"/>
      <c r="U129" s="69"/>
      <c r="V129" s="101">
        <f t="shared" si="4"/>
        <v>0</v>
      </c>
    </row>
    <row r="130" spans="1:22" s="8" customFormat="1" ht="38.25" x14ac:dyDescent="0.2">
      <c r="A130" s="52" t="s">
        <v>117</v>
      </c>
      <c r="B130" s="43"/>
      <c r="C130" s="43"/>
      <c r="D130" s="43">
        <v>4200.32</v>
      </c>
      <c r="E130" s="43">
        <v>0</v>
      </c>
      <c r="F130" s="43"/>
      <c r="G130" s="44"/>
      <c r="H130" s="45"/>
      <c r="I130" s="58"/>
      <c r="J130" s="46">
        <v>5354.55</v>
      </c>
      <c r="K130" s="43"/>
      <c r="L130" s="45"/>
      <c r="M130" s="58"/>
      <c r="N130" s="46"/>
      <c r="O130" s="43"/>
      <c r="P130" s="55"/>
      <c r="Q130" s="46"/>
      <c r="R130" s="43"/>
      <c r="S130" s="55"/>
      <c r="T130" s="55"/>
      <c r="U130" s="46"/>
      <c r="V130" s="101">
        <f t="shared" si="4"/>
        <v>-1154.2300000000005</v>
      </c>
    </row>
    <row r="131" spans="1:22" s="8" customFormat="1" ht="25.5" x14ac:dyDescent="0.2">
      <c r="A131" s="52" t="s">
        <v>118</v>
      </c>
      <c r="B131" s="43"/>
      <c r="C131" s="43"/>
      <c r="D131" s="43">
        <v>12485.01</v>
      </c>
      <c r="E131" s="43"/>
      <c r="F131" s="43"/>
      <c r="G131" s="44"/>
      <c r="H131" s="45"/>
      <c r="I131" s="58">
        <v>1198.5</v>
      </c>
      <c r="J131" s="46">
        <v>13683.76</v>
      </c>
      <c r="K131" s="43"/>
      <c r="L131" s="45"/>
      <c r="M131" s="58"/>
      <c r="N131" s="46"/>
      <c r="O131" s="43"/>
      <c r="P131" s="55"/>
      <c r="Q131" s="46"/>
      <c r="R131" s="43"/>
      <c r="S131" s="55"/>
      <c r="T131" s="55"/>
      <c r="U131" s="46"/>
      <c r="V131" s="101">
        <f t="shared" si="4"/>
        <v>-0.25</v>
      </c>
    </row>
    <row r="132" spans="1:22" s="8" customFormat="1" ht="25.5" x14ac:dyDescent="0.2">
      <c r="A132" s="52" t="s">
        <v>119</v>
      </c>
      <c r="B132" s="43"/>
      <c r="C132" s="43"/>
      <c r="D132" s="43">
        <v>731.76</v>
      </c>
      <c r="E132" s="43"/>
      <c r="F132" s="43"/>
      <c r="G132" s="44"/>
      <c r="H132" s="45"/>
      <c r="I132" s="58">
        <v>11.66</v>
      </c>
      <c r="J132" s="46"/>
      <c r="K132" s="43"/>
      <c r="L132" s="45"/>
      <c r="M132" s="58"/>
      <c r="N132" s="46">
        <v>743.42</v>
      </c>
      <c r="O132" s="43"/>
      <c r="P132" s="55"/>
      <c r="Q132" s="46"/>
      <c r="R132" s="43"/>
      <c r="S132" s="55"/>
      <c r="T132" s="55"/>
      <c r="U132" s="46"/>
      <c r="V132" s="101">
        <f t="shared" si="4"/>
        <v>0</v>
      </c>
    </row>
    <row r="133" spans="1:22" s="8" customFormat="1" ht="25.5" x14ac:dyDescent="0.2">
      <c r="A133" s="53" t="s">
        <v>120</v>
      </c>
      <c r="B133" s="43"/>
      <c r="C133" s="43"/>
      <c r="D133" s="43">
        <v>40663.625010000003</v>
      </c>
      <c r="E133" s="43"/>
      <c r="F133" s="43"/>
      <c r="G133" s="44"/>
      <c r="H133" s="45"/>
      <c r="I133" s="58">
        <v>5605.38</v>
      </c>
      <c r="J133" s="46">
        <v>46269</v>
      </c>
      <c r="K133" s="43"/>
      <c r="L133" s="45"/>
      <c r="M133" s="58"/>
      <c r="N133" s="46"/>
      <c r="O133" s="43"/>
      <c r="P133" s="55"/>
      <c r="Q133" s="46"/>
      <c r="R133" s="43"/>
      <c r="S133" s="55"/>
      <c r="T133" s="55"/>
      <c r="U133" s="46"/>
      <c r="V133" s="101">
        <f t="shared" si="4"/>
        <v>5.0100000007660128E-3</v>
      </c>
    </row>
    <row r="134" spans="1:22" s="8" customFormat="1" ht="25.5" x14ac:dyDescent="0.2">
      <c r="A134" s="53" t="s">
        <v>121</v>
      </c>
      <c r="B134" s="43"/>
      <c r="C134" s="43"/>
      <c r="D134" s="43">
        <v>0</v>
      </c>
      <c r="E134" s="43"/>
      <c r="F134" s="43"/>
      <c r="G134" s="44"/>
      <c r="H134" s="45"/>
      <c r="I134" s="58">
        <f>29294+22500</f>
        <v>51794</v>
      </c>
      <c r="J134" s="46"/>
      <c r="K134" s="43"/>
      <c r="L134" s="45"/>
      <c r="M134" s="58"/>
      <c r="N134" s="46">
        <v>51794</v>
      </c>
      <c r="O134" s="43"/>
      <c r="P134" s="55"/>
      <c r="Q134" s="46"/>
      <c r="R134" s="43"/>
      <c r="S134" s="55"/>
      <c r="T134" s="55"/>
      <c r="U134" s="46"/>
      <c r="V134" s="101">
        <f t="shared" si="4"/>
        <v>0</v>
      </c>
    </row>
    <row r="135" spans="1:22" s="8" customFormat="1" ht="25.5" x14ac:dyDescent="0.2">
      <c r="A135" s="53" t="s">
        <v>122</v>
      </c>
      <c r="B135" s="43"/>
      <c r="C135" s="43"/>
      <c r="D135" s="43"/>
      <c r="E135" s="43"/>
      <c r="F135" s="43"/>
      <c r="G135" s="44"/>
      <c r="H135" s="45"/>
      <c r="I135" s="58"/>
      <c r="J135" s="46"/>
      <c r="K135" s="43"/>
      <c r="L135" s="45"/>
      <c r="M135" s="58"/>
      <c r="N135" s="46"/>
      <c r="O135" s="43"/>
      <c r="P135" s="55"/>
      <c r="Q135" s="46"/>
      <c r="R135" s="43"/>
      <c r="S135" s="55"/>
      <c r="T135" s="55"/>
      <c r="U135" s="46"/>
      <c r="V135" s="101">
        <f t="shared" ref="V135:V156" si="11">C135+D135+I135+M135+P135+T135-E135-J135-N135-Q135-U135</f>
        <v>0</v>
      </c>
    </row>
    <row r="136" spans="1:22" s="8" customFormat="1" ht="25.5" x14ac:dyDescent="0.2">
      <c r="A136" s="53" t="s">
        <v>123</v>
      </c>
      <c r="B136" s="43"/>
      <c r="C136" s="43"/>
      <c r="D136" s="43"/>
      <c r="E136" s="43"/>
      <c r="F136" s="43"/>
      <c r="G136" s="44"/>
      <c r="H136" s="45"/>
      <c r="I136" s="58"/>
      <c r="J136" s="46"/>
      <c r="K136" s="43"/>
      <c r="L136" s="45"/>
      <c r="M136" s="58"/>
      <c r="N136" s="46"/>
      <c r="O136" s="43"/>
      <c r="P136" s="55"/>
      <c r="Q136" s="46"/>
      <c r="R136" s="43"/>
      <c r="S136" s="55"/>
      <c r="T136" s="55"/>
      <c r="U136" s="46"/>
      <c r="V136" s="101">
        <f t="shared" si="11"/>
        <v>0</v>
      </c>
    </row>
    <row r="137" spans="1:22" s="8" customFormat="1" ht="25.5" x14ac:dyDescent="0.2">
      <c r="A137" s="53" t="s">
        <v>124</v>
      </c>
      <c r="B137" s="43"/>
      <c r="C137" s="43"/>
      <c r="D137" s="43"/>
      <c r="E137" s="43"/>
      <c r="F137" s="43"/>
      <c r="G137" s="44"/>
      <c r="H137" s="45"/>
      <c r="I137" s="58"/>
      <c r="J137" s="46"/>
      <c r="K137" s="43"/>
      <c r="L137" s="45"/>
      <c r="M137" s="58"/>
      <c r="N137" s="46"/>
      <c r="O137" s="43"/>
      <c r="P137" s="55"/>
      <c r="Q137" s="46"/>
      <c r="R137" s="43"/>
      <c r="S137" s="55"/>
      <c r="T137" s="55"/>
      <c r="U137" s="46"/>
      <c r="V137" s="101">
        <f t="shared" si="11"/>
        <v>0</v>
      </c>
    </row>
    <row r="138" spans="1:22" s="8" customFormat="1" ht="25.5" x14ac:dyDescent="0.2">
      <c r="A138" s="53" t="s">
        <v>125</v>
      </c>
      <c r="B138" s="43"/>
      <c r="C138" s="43"/>
      <c r="D138" s="43"/>
      <c r="E138" s="43"/>
      <c r="F138" s="43"/>
      <c r="G138" s="44"/>
      <c r="H138" s="45"/>
      <c r="I138" s="58"/>
      <c r="J138" s="46"/>
      <c r="K138" s="43"/>
      <c r="L138" s="45"/>
      <c r="M138" s="58"/>
      <c r="N138" s="46"/>
      <c r="O138" s="43"/>
      <c r="P138" s="55"/>
      <c r="Q138" s="46"/>
      <c r="R138" s="43"/>
      <c r="S138" s="55"/>
      <c r="T138" s="55"/>
      <c r="U138" s="46"/>
      <c r="V138" s="101">
        <f t="shared" si="11"/>
        <v>0</v>
      </c>
    </row>
    <row r="139" spans="1:22" s="8" customFormat="1" ht="25.5" x14ac:dyDescent="0.2">
      <c r="A139" s="53" t="s">
        <v>126</v>
      </c>
      <c r="B139" s="43"/>
      <c r="C139" s="43"/>
      <c r="D139" s="43"/>
      <c r="E139" s="43"/>
      <c r="F139" s="43"/>
      <c r="G139" s="44"/>
      <c r="H139" s="45"/>
      <c r="I139" s="58"/>
      <c r="J139" s="46"/>
      <c r="K139" s="43"/>
      <c r="L139" s="45"/>
      <c r="M139" s="58"/>
      <c r="N139" s="46"/>
      <c r="O139" s="43"/>
      <c r="P139" s="55"/>
      <c r="Q139" s="46"/>
      <c r="R139" s="43"/>
      <c r="S139" s="55"/>
      <c r="T139" s="55"/>
      <c r="U139" s="46"/>
      <c r="V139" s="101">
        <f t="shared" si="11"/>
        <v>0</v>
      </c>
    </row>
    <row r="140" spans="1:22" s="8" customFormat="1" ht="38.25" x14ac:dyDescent="0.2">
      <c r="A140" s="53" t="s">
        <v>127</v>
      </c>
      <c r="B140" s="43"/>
      <c r="C140" s="43"/>
      <c r="D140" s="43"/>
      <c r="E140" s="43"/>
      <c r="F140" s="43"/>
      <c r="G140" s="44"/>
      <c r="H140" s="45"/>
      <c r="I140" s="58"/>
      <c r="J140" s="46"/>
      <c r="K140" s="43"/>
      <c r="L140" s="45"/>
      <c r="M140" s="58"/>
      <c r="N140" s="46"/>
      <c r="O140" s="43"/>
      <c r="P140" s="55"/>
      <c r="Q140" s="46"/>
      <c r="R140" s="43"/>
      <c r="S140" s="55"/>
      <c r="T140" s="55"/>
      <c r="U140" s="46"/>
      <c r="V140" s="101">
        <f t="shared" si="11"/>
        <v>0</v>
      </c>
    </row>
    <row r="141" spans="1:22" s="8" customFormat="1" ht="25.5" x14ac:dyDescent="0.2">
      <c r="A141" s="54" t="s">
        <v>128</v>
      </c>
      <c r="B141" s="43"/>
      <c r="C141" s="43"/>
      <c r="D141" s="43"/>
      <c r="E141" s="43"/>
      <c r="F141" s="43"/>
      <c r="G141" s="44"/>
      <c r="H141" s="45"/>
      <c r="I141" s="58"/>
      <c r="J141" s="46"/>
      <c r="K141" s="43"/>
      <c r="L141" s="45"/>
      <c r="M141" s="58"/>
      <c r="N141" s="46"/>
      <c r="O141" s="43"/>
      <c r="P141" s="55"/>
      <c r="Q141" s="46"/>
      <c r="R141" s="43"/>
      <c r="S141" s="55"/>
      <c r="T141" s="55"/>
      <c r="U141" s="46"/>
      <c r="V141" s="101">
        <f t="shared" si="11"/>
        <v>0</v>
      </c>
    </row>
    <row r="142" spans="1:22" s="8" customFormat="1" x14ac:dyDescent="0.2">
      <c r="A142" s="50" t="s">
        <v>129</v>
      </c>
      <c r="B142" s="43"/>
      <c r="C142" s="43"/>
      <c r="D142" s="43">
        <v>0</v>
      </c>
      <c r="E142" s="43"/>
      <c r="F142" s="43"/>
      <c r="G142" s="44"/>
      <c r="H142" s="45"/>
      <c r="I142" s="58"/>
      <c r="J142" s="46"/>
      <c r="K142" s="43"/>
      <c r="L142" s="45"/>
      <c r="M142" s="58"/>
      <c r="N142" s="46"/>
      <c r="O142" s="43"/>
      <c r="P142" s="55"/>
      <c r="Q142" s="46"/>
      <c r="R142" s="43"/>
      <c r="S142" s="55"/>
      <c r="T142" s="55"/>
      <c r="U142" s="46"/>
      <c r="V142" s="101">
        <f t="shared" si="11"/>
        <v>0</v>
      </c>
    </row>
    <row r="143" spans="1:22" s="8" customFormat="1" x14ac:dyDescent="0.2">
      <c r="A143" s="50" t="s">
        <v>130</v>
      </c>
      <c r="B143" s="43"/>
      <c r="C143" s="43"/>
      <c r="D143" s="43">
        <v>24827.701499999999</v>
      </c>
      <c r="E143" s="43">
        <v>24827.701499999999</v>
      </c>
      <c r="F143" s="43"/>
      <c r="G143" s="44"/>
      <c r="H143" s="45"/>
      <c r="I143" s="58"/>
      <c r="J143" s="46"/>
      <c r="K143" s="43"/>
      <c r="L143" s="45"/>
      <c r="M143" s="58"/>
      <c r="N143" s="46"/>
      <c r="O143" s="43"/>
      <c r="P143" s="55"/>
      <c r="Q143" s="46"/>
      <c r="R143" s="43"/>
      <c r="S143" s="55"/>
      <c r="T143" s="55"/>
      <c r="U143" s="46"/>
      <c r="V143" s="101">
        <f t="shared" si="11"/>
        <v>0</v>
      </c>
    </row>
    <row r="144" spans="1:22" s="8" customFormat="1" x14ac:dyDescent="0.2">
      <c r="A144" s="50" t="s">
        <v>131</v>
      </c>
      <c r="B144" s="43"/>
      <c r="C144" s="43"/>
      <c r="D144" s="43">
        <v>27000</v>
      </c>
      <c r="E144" s="43"/>
      <c r="F144" s="43"/>
      <c r="G144" s="44"/>
      <c r="H144" s="45"/>
      <c r="I144" s="58"/>
      <c r="J144" s="46">
        <v>27000</v>
      </c>
      <c r="K144" s="43"/>
      <c r="L144" s="45"/>
      <c r="M144" s="58"/>
      <c r="N144" s="46"/>
      <c r="O144" s="43"/>
      <c r="P144" s="55"/>
      <c r="Q144" s="46"/>
      <c r="R144" s="43"/>
      <c r="S144" s="55"/>
      <c r="T144" s="55"/>
      <c r="U144" s="46"/>
      <c r="V144" s="101">
        <f t="shared" si="11"/>
        <v>0</v>
      </c>
    </row>
    <row r="145" spans="1:22" s="8" customFormat="1" x14ac:dyDescent="0.2">
      <c r="A145" s="50" t="s">
        <v>132</v>
      </c>
      <c r="B145" s="43"/>
      <c r="C145" s="43">
        <v>24350.584500000001</v>
      </c>
      <c r="D145" s="43">
        <v>0</v>
      </c>
      <c r="E145" s="43">
        <v>24350.584500000001</v>
      </c>
      <c r="F145" s="43"/>
      <c r="G145" s="44"/>
      <c r="H145" s="45"/>
      <c r="I145" s="58"/>
      <c r="J145" s="46"/>
      <c r="K145" s="43"/>
      <c r="L145" s="45"/>
      <c r="M145" s="58"/>
      <c r="N145" s="46"/>
      <c r="O145" s="43"/>
      <c r="P145" s="55"/>
      <c r="Q145" s="46"/>
      <c r="R145" s="43"/>
      <c r="S145" s="55"/>
      <c r="T145" s="55"/>
      <c r="U145" s="46"/>
      <c r="V145" s="101">
        <f t="shared" si="11"/>
        <v>0</v>
      </c>
    </row>
    <row r="146" spans="1:22" s="8" customFormat="1" x14ac:dyDescent="0.2">
      <c r="A146" s="50" t="s">
        <v>133</v>
      </c>
      <c r="B146" s="43"/>
      <c r="C146" s="43"/>
      <c r="D146" s="43">
        <v>10219.720499999999</v>
      </c>
      <c r="E146" s="43"/>
      <c r="F146" s="43"/>
      <c r="G146" s="44"/>
      <c r="H146" s="45"/>
      <c r="I146" s="58"/>
      <c r="J146" s="46">
        <v>10351</v>
      </c>
      <c r="K146" s="43"/>
      <c r="L146" s="45"/>
      <c r="M146" s="58"/>
      <c r="N146" s="46"/>
      <c r="O146" s="43"/>
      <c r="P146" s="55"/>
      <c r="Q146" s="46"/>
      <c r="R146" s="43"/>
      <c r="S146" s="55"/>
      <c r="T146" s="55"/>
      <c r="U146" s="46"/>
      <c r="V146" s="101">
        <f t="shared" si="11"/>
        <v>-131.27950000000055</v>
      </c>
    </row>
    <row r="147" spans="1:22" s="8" customFormat="1" x14ac:dyDescent="0.2">
      <c r="A147" s="50" t="s">
        <v>134</v>
      </c>
      <c r="B147" s="43"/>
      <c r="C147" s="43"/>
      <c r="D147" s="43">
        <v>0</v>
      </c>
      <c r="E147" s="43"/>
      <c r="F147" s="43"/>
      <c r="G147" s="44"/>
      <c r="H147" s="45"/>
      <c r="I147" s="58">
        <v>20169</v>
      </c>
      <c r="J147" s="46">
        <v>20169</v>
      </c>
      <c r="K147" s="43"/>
      <c r="L147" s="45"/>
      <c r="M147" s="58"/>
      <c r="N147" s="46"/>
      <c r="O147" s="43"/>
      <c r="P147" s="55"/>
      <c r="Q147" s="46"/>
      <c r="R147" s="43"/>
      <c r="S147" s="55"/>
      <c r="T147" s="55"/>
      <c r="U147" s="46"/>
      <c r="V147" s="101">
        <f t="shared" si="11"/>
        <v>0</v>
      </c>
    </row>
    <row r="148" spans="1:22" s="8" customFormat="1" ht="38.25" x14ac:dyDescent="0.2">
      <c r="A148" s="54" t="s">
        <v>135</v>
      </c>
      <c r="B148" s="43"/>
      <c r="C148" s="43"/>
      <c r="D148" s="43"/>
      <c r="E148" s="43"/>
      <c r="F148" s="43"/>
      <c r="G148" s="44"/>
      <c r="H148" s="45"/>
      <c r="I148" s="58"/>
      <c r="J148" s="46"/>
      <c r="K148" s="43"/>
      <c r="L148" s="45"/>
      <c r="M148" s="58"/>
      <c r="N148" s="46"/>
      <c r="O148" s="43"/>
      <c r="P148" s="55"/>
      <c r="Q148" s="46"/>
      <c r="R148" s="43"/>
      <c r="S148" s="55"/>
      <c r="T148" s="55"/>
      <c r="U148" s="46"/>
      <c r="V148" s="101">
        <f t="shared" si="11"/>
        <v>0</v>
      </c>
    </row>
    <row r="149" spans="1:22" s="8" customFormat="1" x14ac:dyDescent="0.2">
      <c r="A149" s="50" t="s">
        <v>130</v>
      </c>
      <c r="B149" s="43"/>
      <c r="C149" s="43"/>
      <c r="D149" s="43">
        <v>2471.8014000000003</v>
      </c>
      <c r="E149" s="43"/>
      <c r="F149" s="43"/>
      <c r="G149" s="44"/>
      <c r="H149" s="45"/>
      <c r="I149" s="58">
        <v>5194.21</v>
      </c>
      <c r="J149" s="46">
        <v>7666</v>
      </c>
      <c r="K149" s="43"/>
      <c r="L149" s="45"/>
      <c r="M149" s="58"/>
      <c r="N149" s="46"/>
      <c r="O149" s="43"/>
      <c r="P149" s="55"/>
      <c r="Q149" s="46"/>
      <c r="R149" s="43"/>
      <c r="S149" s="55"/>
      <c r="T149" s="55"/>
      <c r="U149" s="46"/>
      <c r="V149" s="101">
        <f t="shared" si="11"/>
        <v>1.1400000000321597E-2</v>
      </c>
    </row>
    <row r="150" spans="1:22" s="8" customFormat="1" x14ac:dyDescent="0.2">
      <c r="A150" s="50" t="s">
        <v>131</v>
      </c>
      <c r="B150" s="43"/>
      <c r="C150" s="43"/>
      <c r="D150" s="43">
        <v>5671.7503100000004</v>
      </c>
      <c r="E150" s="43"/>
      <c r="F150" s="43"/>
      <c r="G150" s="44"/>
      <c r="H150" s="45"/>
      <c r="I150" s="58">
        <v>5562.25</v>
      </c>
      <c r="J150" s="46">
        <v>11234</v>
      </c>
      <c r="K150" s="43"/>
      <c r="L150" s="45"/>
      <c r="M150" s="58"/>
      <c r="N150" s="46"/>
      <c r="O150" s="43"/>
      <c r="P150" s="55"/>
      <c r="Q150" s="46"/>
      <c r="R150" s="43"/>
      <c r="S150" s="55"/>
      <c r="T150" s="55"/>
      <c r="U150" s="46"/>
      <c r="V150" s="101">
        <f t="shared" si="11"/>
        <v>3.0999999944469891E-4</v>
      </c>
    </row>
    <row r="151" spans="1:22" s="8" customFormat="1" x14ac:dyDescent="0.2">
      <c r="A151" s="50" t="s">
        <v>132</v>
      </c>
      <c r="B151" s="43"/>
      <c r="C151" s="43"/>
      <c r="D151" s="43">
        <v>6694.4742200000001</v>
      </c>
      <c r="E151" s="43">
        <v>1111.8689999999999</v>
      </c>
      <c r="F151" s="43"/>
      <c r="G151" s="44"/>
      <c r="H151" s="45"/>
      <c r="I151" s="58">
        <v>3739.5</v>
      </c>
      <c r="J151" s="46">
        <v>9432</v>
      </c>
      <c r="K151" s="43"/>
      <c r="L151" s="45"/>
      <c r="M151" s="58"/>
      <c r="N151" s="46"/>
      <c r="O151" s="43"/>
      <c r="P151" s="55"/>
      <c r="Q151" s="46"/>
      <c r="R151" s="43"/>
      <c r="S151" s="55"/>
      <c r="T151" s="55"/>
      <c r="U151" s="46"/>
      <c r="V151" s="101">
        <f t="shared" si="11"/>
        <v>-109.89478000000054</v>
      </c>
    </row>
    <row r="152" spans="1:22" s="8" customFormat="1" x14ac:dyDescent="0.2">
      <c r="A152" s="50" t="s">
        <v>133</v>
      </c>
      <c r="B152" s="43"/>
      <c r="C152" s="43"/>
      <c r="D152" s="43">
        <v>59.442999999999998</v>
      </c>
      <c r="E152" s="43"/>
      <c r="F152" s="43"/>
      <c r="G152" s="44"/>
      <c r="H152" s="45"/>
      <c r="I152" s="58">
        <v>8361.56</v>
      </c>
      <c r="J152" s="46">
        <v>8421</v>
      </c>
      <c r="K152" s="43"/>
      <c r="L152" s="45"/>
      <c r="M152" s="58"/>
      <c r="N152" s="46"/>
      <c r="O152" s="43"/>
      <c r="P152" s="55"/>
      <c r="Q152" s="46"/>
      <c r="R152" s="43"/>
      <c r="S152" s="55"/>
      <c r="T152" s="55"/>
      <c r="U152" s="46"/>
      <c r="V152" s="101">
        <f t="shared" si="11"/>
        <v>2.999999998792191E-3</v>
      </c>
    </row>
    <row r="153" spans="1:22" s="8" customFormat="1" x14ac:dyDescent="0.2">
      <c r="A153" s="50" t="s">
        <v>134</v>
      </c>
      <c r="B153" s="43"/>
      <c r="C153" s="43"/>
      <c r="D153" s="43">
        <v>0</v>
      </c>
      <c r="E153" s="43"/>
      <c r="F153" s="43"/>
      <c r="G153" s="44"/>
      <c r="H153" s="45"/>
      <c r="I153" s="58">
        <v>9873</v>
      </c>
      <c r="J153" s="46">
        <v>9873</v>
      </c>
      <c r="K153" s="43"/>
      <c r="L153" s="45"/>
      <c r="M153" s="58"/>
      <c r="N153" s="46"/>
      <c r="O153" s="43"/>
      <c r="P153" s="55"/>
      <c r="Q153" s="46"/>
      <c r="R153" s="43"/>
      <c r="S153" s="55"/>
      <c r="T153" s="55"/>
      <c r="U153" s="46"/>
      <c r="V153" s="101">
        <f t="shared" si="11"/>
        <v>0</v>
      </c>
    </row>
    <row r="154" spans="1:22" s="8" customFormat="1" ht="25.5" x14ac:dyDescent="0.2">
      <c r="A154" s="53" t="s">
        <v>136</v>
      </c>
      <c r="B154" s="43"/>
      <c r="C154" s="43"/>
      <c r="D154" s="43">
        <v>13583.414140000001</v>
      </c>
      <c r="E154" s="43"/>
      <c r="F154" s="43"/>
      <c r="G154" s="44"/>
      <c r="H154" s="45"/>
      <c r="I154" s="58">
        <f>3516.58-3516.58</f>
        <v>0</v>
      </c>
      <c r="J154" s="46">
        <f>17100-3516.58</f>
        <v>13583.42</v>
      </c>
      <c r="K154" s="43"/>
      <c r="L154" s="45"/>
      <c r="M154" s="58"/>
      <c r="N154" s="46"/>
      <c r="O154" s="43"/>
      <c r="P154" s="55"/>
      <c r="Q154" s="46"/>
      <c r="R154" s="43"/>
      <c r="S154" s="55"/>
      <c r="T154" s="55"/>
      <c r="U154" s="46"/>
      <c r="V154" s="101">
        <f t="shared" si="11"/>
        <v>-5.8599999993020901E-3</v>
      </c>
    </row>
    <row r="155" spans="1:22" s="8" customFormat="1" ht="25.5" x14ac:dyDescent="0.2">
      <c r="A155" s="53" t="s">
        <v>153</v>
      </c>
      <c r="B155" s="43"/>
      <c r="C155" s="43"/>
      <c r="D155" s="43"/>
      <c r="E155" s="43"/>
      <c r="F155" s="43"/>
      <c r="G155" s="44"/>
      <c r="H155" s="45"/>
      <c r="I155" s="58">
        <v>5053.58</v>
      </c>
      <c r="J155" s="46"/>
      <c r="K155" s="43"/>
      <c r="L155" s="45"/>
      <c r="M155" s="58"/>
      <c r="N155" s="58">
        <v>5053.5730000000003</v>
      </c>
      <c r="O155" s="43"/>
      <c r="P155" s="55"/>
      <c r="Q155" s="46"/>
      <c r="R155" s="43"/>
      <c r="S155" s="55"/>
      <c r="T155" s="55"/>
      <c r="U155" s="46"/>
      <c r="V155" s="101">
        <f t="shared" si="11"/>
        <v>6.9999999996070983E-3</v>
      </c>
    </row>
    <row r="156" spans="1:22" s="8" customFormat="1" ht="25.5" x14ac:dyDescent="0.2">
      <c r="A156" s="53" t="s">
        <v>154</v>
      </c>
      <c r="B156" s="43"/>
      <c r="C156" s="43"/>
      <c r="D156" s="43"/>
      <c r="E156" s="43"/>
      <c r="F156" s="43"/>
      <c r="G156" s="44"/>
      <c r="H156" s="45"/>
      <c r="I156" s="58">
        <v>5071.6099999999997</v>
      </c>
      <c r="J156" s="46"/>
      <c r="K156" s="43"/>
      <c r="L156" s="45"/>
      <c r="M156" s="58"/>
      <c r="N156" s="58">
        <v>5071.6019999999999</v>
      </c>
      <c r="O156" s="43"/>
      <c r="P156" s="55"/>
      <c r="Q156" s="46"/>
      <c r="R156" s="43"/>
      <c r="S156" s="55"/>
      <c r="T156" s="55"/>
      <c r="U156" s="46"/>
      <c r="V156" s="101">
        <f t="shared" si="11"/>
        <v>7.9999999998108251E-3</v>
      </c>
    </row>
    <row r="157" spans="1:22" s="8" customFormat="1" ht="42.75" customHeight="1" x14ac:dyDescent="0.2">
      <c r="A157" s="100" t="s">
        <v>162</v>
      </c>
      <c r="B157" s="43"/>
      <c r="C157" s="43"/>
      <c r="D157" s="43"/>
      <c r="E157" s="43"/>
      <c r="F157" s="43"/>
      <c r="G157" s="44"/>
      <c r="H157" s="45"/>
      <c r="I157" s="58"/>
      <c r="J157" s="46"/>
      <c r="K157" s="43"/>
      <c r="L157" s="45"/>
      <c r="M157" s="96">
        <v>2307.08</v>
      </c>
      <c r="N157" s="58"/>
      <c r="O157" s="43"/>
      <c r="P157" s="55"/>
      <c r="Q157" s="96">
        <v>2307.08</v>
      </c>
      <c r="R157" s="43"/>
      <c r="S157" s="55"/>
      <c r="T157" s="55"/>
      <c r="U157" s="46"/>
      <c r="V157" s="101">
        <f>C157+D157+I157+M157+P157+T157-E157-J157-N157-Q157-U157</f>
        <v>0</v>
      </c>
    </row>
    <row r="158" spans="1:22" s="8" customFormat="1" ht="42.75" customHeight="1" x14ac:dyDescent="0.2">
      <c r="A158" s="100" t="s">
        <v>164</v>
      </c>
      <c r="B158" s="43"/>
      <c r="C158" s="43"/>
      <c r="D158" s="43"/>
      <c r="E158" s="43"/>
      <c r="F158" s="43"/>
      <c r="G158" s="44"/>
      <c r="H158" s="45"/>
      <c r="I158" s="58"/>
      <c r="J158" s="46"/>
      <c r="K158" s="43"/>
      <c r="L158" s="45"/>
      <c r="M158" s="96">
        <v>3969.08</v>
      </c>
      <c r="N158" s="58"/>
      <c r="O158" s="43"/>
      <c r="P158" s="55"/>
      <c r="Q158" s="96">
        <v>3969.08</v>
      </c>
      <c r="R158" s="43"/>
      <c r="S158" s="55"/>
      <c r="T158" s="55"/>
      <c r="U158" s="46"/>
      <c r="V158" s="101">
        <f>C158+D158+I158+M158+P158+T158-E158-J158-N158-Q158-U158</f>
        <v>0</v>
      </c>
    </row>
    <row r="159" spans="1:22" s="8" customFormat="1" ht="42.75" customHeight="1" x14ac:dyDescent="0.2">
      <c r="A159" s="100" t="s">
        <v>163</v>
      </c>
      <c r="B159" s="43"/>
      <c r="C159" s="43"/>
      <c r="D159" s="43"/>
      <c r="E159" s="43"/>
      <c r="F159" s="43"/>
      <c r="G159" s="44"/>
      <c r="H159" s="45"/>
      <c r="I159" s="58"/>
      <c r="J159" s="46"/>
      <c r="K159" s="43"/>
      <c r="L159" s="45"/>
      <c r="M159" s="96">
        <v>19490.73</v>
      </c>
      <c r="N159" s="58"/>
      <c r="O159" s="43"/>
      <c r="P159" s="55"/>
      <c r="Q159" s="96">
        <v>19490.73</v>
      </c>
      <c r="R159" s="43"/>
      <c r="S159" s="55"/>
      <c r="T159" s="55"/>
      <c r="U159" s="46"/>
      <c r="V159" s="101">
        <f>C159+D159+I159+M159+P159+T159-E159-J159-N159-Q159-U159</f>
        <v>0</v>
      </c>
    </row>
    <row r="160" spans="1:22" s="8" customFormat="1" x14ac:dyDescent="0.2">
      <c r="A160" s="17" t="s">
        <v>138</v>
      </c>
      <c r="B160" s="25">
        <f t="shared" ref="B160:U160" si="12">SUM(B129:B159)</f>
        <v>0</v>
      </c>
      <c r="C160" s="25">
        <f t="shared" si="12"/>
        <v>24350.584500000001</v>
      </c>
      <c r="D160" s="25">
        <f t="shared" si="12"/>
        <v>148609.02007999999</v>
      </c>
      <c r="E160" s="25">
        <f t="shared" si="12"/>
        <v>50290.154999999999</v>
      </c>
      <c r="F160" s="25">
        <f t="shared" si="12"/>
        <v>0</v>
      </c>
      <c r="G160" s="25">
        <f t="shared" si="12"/>
        <v>0</v>
      </c>
      <c r="H160" s="25">
        <f t="shared" si="12"/>
        <v>0</v>
      </c>
      <c r="I160" s="25">
        <f t="shared" si="12"/>
        <v>121634.25000000001</v>
      </c>
      <c r="J160" s="25">
        <f t="shared" si="12"/>
        <v>183036.73</v>
      </c>
      <c r="K160" s="25">
        <f t="shared" si="12"/>
        <v>0</v>
      </c>
      <c r="L160" s="25">
        <f t="shared" si="12"/>
        <v>0</v>
      </c>
      <c r="M160" s="25">
        <f t="shared" si="12"/>
        <v>25766.89</v>
      </c>
      <c r="N160" s="25">
        <f t="shared" si="12"/>
        <v>62662.595000000001</v>
      </c>
      <c r="O160" s="25">
        <f t="shared" si="12"/>
        <v>0</v>
      </c>
      <c r="P160" s="25">
        <f t="shared" si="12"/>
        <v>0</v>
      </c>
      <c r="Q160" s="25">
        <f t="shared" si="12"/>
        <v>25766.89</v>
      </c>
      <c r="R160" s="25">
        <f t="shared" si="12"/>
        <v>0</v>
      </c>
      <c r="S160" s="25">
        <f t="shared" si="12"/>
        <v>0</v>
      </c>
      <c r="T160" s="25">
        <f t="shared" si="12"/>
        <v>0</v>
      </c>
      <c r="U160" s="25">
        <f t="shared" si="12"/>
        <v>0</v>
      </c>
      <c r="V160" s="101">
        <f>C160+D160+I160+M160+P160+T160-E160-J160-N160-Q160-U160</f>
        <v>-1395.6254199999821</v>
      </c>
    </row>
    <row r="161" spans="1:21" s="8" customFormat="1" x14ac:dyDescent="0.2">
      <c r="A161" s="2"/>
      <c r="B161" s="29"/>
      <c r="C161" s="29"/>
      <c r="D161" s="29"/>
      <c r="E161" s="29"/>
      <c r="F161" s="29"/>
      <c r="G161" s="3"/>
      <c r="H161" s="3"/>
      <c r="I161" s="3"/>
      <c r="J161" s="64"/>
      <c r="K161" s="29"/>
      <c r="L161" s="3"/>
      <c r="M161" s="3"/>
      <c r="N161" s="30"/>
      <c r="O161" s="29"/>
      <c r="P161" s="3"/>
      <c r="Q161" s="30"/>
      <c r="R161" s="29"/>
      <c r="S161" s="3"/>
      <c r="T161" s="3"/>
      <c r="U161" s="30"/>
    </row>
    <row r="162" spans="1:21" s="8" customFormat="1" ht="13.5" thickBot="1" x14ac:dyDescent="0.25">
      <c r="A162" s="13" t="s">
        <v>6</v>
      </c>
      <c r="B162" s="48">
        <v>0</v>
      </c>
      <c r="C162" s="48">
        <v>484254.09123000002</v>
      </c>
      <c r="D162" s="48">
        <f t="shared" ref="D162:U162" si="13">SUM(D160,D126,D124,D119,D116,D106,D63,D50,D35)</f>
        <v>460897.52007999999</v>
      </c>
      <c r="E162" s="48">
        <f t="shared" si="13"/>
        <v>382266.45500000002</v>
      </c>
      <c r="F162" s="48">
        <f t="shared" si="13"/>
        <v>199479.2</v>
      </c>
      <c r="G162" s="48">
        <f t="shared" si="13"/>
        <v>1028.5999999999999</v>
      </c>
      <c r="H162" s="48">
        <f t="shared" si="13"/>
        <v>659255.73</v>
      </c>
      <c r="I162" s="48">
        <f t="shared" si="13"/>
        <v>536250.49</v>
      </c>
      <c r="J162" s="48">
        <f t="shared" si="13"/>
        <v>660899.56000000006</v>
      </c>
      <c r="K162" s="48">
        <f t="shared" si="13"/>
        <v>0</v>
      </c>
      <c r="L162" s="48">
        <f t="shared" si="13"/>
        <v>951407</v>
      </c>
      <c r="M162" s="48">
        <f t="shared" si="13"/>
        <v>1048680.47</v>
      </c>
      <c r="N162" s="48">
        <f t="shared" si="13"/>
        <v>550088.59499999997</v>
      </c>
      <c r="O162" s="48">
        <f t="shared" si="13"/>
        <v>859000</v>
      </c>
      <c r="P162" s="48">
        <f t="shared" si="13"/>
        <v>925796</v>
      </c>
      <c r="Q162" s="48">
        <f t="shared" si="13"/>
        <v>1728839.8900000001</v>
      </c>
      <c r="R162" s="48">
        <f t="shared" si="13"/>
        <v>388710</v>
      </c>
      <c r="S162" s="48">
        <f t="shared" si="13"/>
        <v>0</v>
      </c>
      <c r="T162" s="48">
        <f t="shared" si="13"/>
        <v>12400</v>
      </c>
      <c r="U162" s="48">
        <f t="shared" si="13"/>
        <v>142215</v>
      </c>
    </row>
    <row r="164" spans="1:21" s="14" customFormat="1" x14ac:dyDescent="0.2">
      <c r="A164" s="4"/>
      <c r="B164" s="4">
        <v>2019</v>
      </c>
      <c r="C164" s="4">
        <v>2020</v>
      </c>
      <c r="D164" s="4">
        <v>2021</v>
      </c>
      <c r="E164" s="4">
        <v>2022</v>
      </c>
      <c r="F164" s="4">
        <v>2023</v>
      </c>
      <c r="G164" s="4">
        <v>2024</v>
      </c>
      <c r="H164" s="4" t="s">
        <v>146</v>
      </c>
    </row>
    <row r="165" spans="1:21" s="14" customFormat="1" ht="13.5" thickBot="1" x14ac:dyDescent="0.25">
      <c r="A165" s="76" t="s">
        <v>33</v>
      </c>
      <c r="B165" s="77"/>
      <c r="C165" s="77"/>
      <c r="D165" s="77">
        <f>F162</f>
        <v>199479.2</v>
      </c>
      <c r="E165" s="77"/>
      <c r="F165" s="77"/>
      <c r="G165" s="77"/>
      <c r="H165" s="77">
        <f>SUM(B165:G165)</f>
        <v>199479.2</v>
      </c>
    </row>
    <row r="166" spans="1:21" s="14" customFormat="1" ht="13.5" thickBot="1" x14ac:dyDescent="0.25">
      <c r="A166" s="117" t="s">
        <v>152</v>
      </c>
      <c r="B166" s="114"/>
      <c r="C166" s="114"/>
      <c r="D166" s="114">
        <f>H162</f>
        <v>659255.73</v>
      </c>
      <c r="E166" s="114">
        <f>L162</f>
        <v>951407</v>
      </c>
      <c r="F166" s="114">
        <f>O162</f>
        <v>859000</v>
      </c>
      <c r="G166" s="114">
        <f>R162</f>
        <v>388710</v>
      </c>
      <c r="H166" s="115">
        <f t="shared" ref="H166:H168" si="14">SUM(B166:G166)</f>
        <v>2858372.73</v>
      </c>
      <c r="I166" s="88">
        <f>H166-3000000</f>
        <v>-141627.27000000002</v>
      </c>
    </row>
    <row r="167" spans="1:21" s="14" customFormat="1" ht="13.5" thickBot="1" x14ac:dyDescent="0.25">
      <c r="A167" s="112"/>
      <c r="B167" s="113"/>
      <c r="C167" s="113"/>
      <c r="D167" s="113"/>
      <c r="E167" s="113"/>
      <c r="F167" s="113"/>
      <c r="G167" s="113"/>
      <c r="H167" s="113"/>
    </row>
    <row r="168" spans="1:21" s="14" customFormat="1" x14ac:dyDescent="0.2">
      <c r="A168" s="78" t="s">
        <v>145</v>
      </c>
      <c r="B168" s="79">
        <f>C162</f>
        <v>484254.09123000002</v>
      </c>
      <c r="C168" s="79">
        <f>D162</f>
        <v>460897.52007999999</v>
      </c>
      <c r="D168" s="79">
        <f>G162+I162</f>
        <v>537279.09</v>
      </c>
      <c r="E168" s="79">
        <f>M162</f>
        <v>1048680.47</v>
      </c>
      <c r="F168" s="79">
        <f>P162</f>
        <v>925796</v>
      </c>
      <c r="G168" s="79">
        <f>T162</f>
        <v>12400</v>
      </c>
      <c r="H168" s="80">
        <f t="shared" si="14"/>
        <v>3469307.1713100001</v>
      </c>
    </row>
    <row r="169" spans="1:21" s="14" customFormat="1" x14ac:dyDescent="0.2">
      <c r="A169" s="81" t="s">
        <v>141</v>
      </c>
      <c r="B169" s="10"/>
      <c r="C169" s="10">
        <f>E162</f>
        <v>382266.45500000002</v>
      </c>
      <c r="D169" s="10">
        <f>J162</f>
        <v>660899.56000000006</v>
      </c>
      <c r="E169" s="10">
        <f>N162</f>
        <v>550088.59499999997</v>
      </c>
      <c r="F169" s="10">
        <f>Q162</f>
        <v>1728839.8900000001</v>
      </c>
      <c r="G169" s="10">
        <f>U162+S127</f>
        <v>142215</v>
      </c>
      <c r="H169" s="82">
        <f>SUM(B169:G169)</f>
        <v>3464309.5</v>
      </c>
      <c r="I169" s="14">
        <f>H168-H169</f>
        <v>4997.6713100001216</v>
      </c>
    </row>
    <row r="170" spans="1:21" s="14" customFormat="1" ht="13.5" thickBot="1" x14ac:dyDescent="0.25">
      <c r="A170" s="118" t="s">
        <v>150</v>
      </c>
      <c r="B170" s="84"/>
      <c r="C170" s="85">
        <f>B168+C168-C169</f>
        <v>562885.15630999999</v>
      </c>
      <c r="D170" s="85">
        <f>C170+D168-D169</f>
        <v>439264.68630999979</v>
      </c>
      <c r="E170" s="85">
        <f>D170+E168-E169</f>
        <v>937856.56130999979</v>
      </c>
      <c r="F170" s="85">
        <f t="shared" ref="F170:G170" si="15">E170+F168-F169</f>
        <v>134812.67130999966</v>
      </c>
      <c r="G170" s="116">
        <f t="shared" si="15"/>
        <v>4997.6713099996559</v>
      </c>
      <c r="H170" s="86"/>
    </row>
    <row r="172" spans="1:21" ht="13.5" thickBot="1" x14ac:dyDescent="0.25">
      <c r="A172" s="4" t="s">
        <v>196</v>
      </c>
    </row>
    <row r="173" spans="1:21" x14ac:dyDescent="0.2">
      <c r="A173" s="78" t="s">
        <v>145</v>
      </c>
      <c r="B173" s="79">
        <v>675307.23774000001</v>
      </c>
      <c r="C173" s="79">
        <v>312288.5</v>
      </c>
      <c r="D173" s="79">
        <f>1028.6+414616.24</f>
        <v>415644.83999999997</v>
      </c>
      <c r="E173" s="79">
        <f>1022914</f>
        <v>1022914</v>
      </c>
      <c r="F173" s="79">
        <f>925796</f>
        <v>925796</v>
      </c>
      <c r="G173" s="79">
        <v>12400</v>
      </c>
      <c r="H173" s="80">
        <f t="shared" ref="H173" si="16">SUM(B173:G173)</f>
        <v>3364350.5777400001</v>
      </c>
    </row>
    <row r="174" spans="1:21" x14ac:dyDescent="0.2">
      <c r="A174" s="81" t="s">
        <v>141</v>
      </c>
      <c r="B174" s="10">
        <v>215403.73100999999</v>
      </c>
      <c r="C174" s="10">
        <v>331976.3</v>
      </c>
      <c r="D174" s="10">
        <f>477862.83</f>
        <v>477862.83</v>
      </c>
      <c r="E174" s="10">
        <f>487426</f>
        <v>487426</v>
      </c>
      <c r="F174" s="10">
        <f>1703073</f>
        <v>1703073</v>
      </c>
      <c r="G174" s="10">
        <v>142215</v>
      </c>
      <c r="H174" s="82">
        <f>SUM(B174:G174)</f>
        <v>3357956.8610100001</v>
      </c>
    </row>
    <row r="175" spans="1:21" ht="13.5" thickBot="1" x14ac:dyDescent="0.25">
      <c r="A175" s="83" t="s">
        <v>150</v>
      </c>
      <c r="B175" s="85">
        <f>B173-B174</f>
        <v>459903.50673000002</v>
      </c>
      <c r="C175" s="85">
        <f>B175+C173-C174</f>
        <v>440215.70673000003</v>
      </c>
      <c r="D175" s="85">
        <f>C175+D173-D174</f>
        <v>377997.71673000004</v>
      </c>
      <c r="E175" s="85">
        <f>D175+E173-E174</f>
        <v>913485.71672999999</v>
      </c>
      <c r="F175" s="85">
        <f t="shared" ref="F175" si="17">E175+F173-F174</f>
        <v>136208.71672999999</v>
      </c>
      <c r="G175" s="85">
        <f t="shared" ref="G175" si="18">F175+G173-G174</f>
        <v>6393.7167299999855</v>
      </c>
      <c r="H175" s="86"/>
    </row>
    <row r="177" spans="1:8" ht="13.5" thickBot="1" x14ac:dyDescent="0.25">
      <c r="A177" s="4" t="s">
        <v>197</v>
      </c>
    </row>
    <row r="178" spans="1:8" x14ac:dyDescent="0.2">
      <c r="A178" s="78" t="s">
        <v>145</v>
      </c>
      <c r="B178" s="79">
        <v>24350.584500000001</v>
      </c>
      <c r="C178" s="79">
        <v>148609.01999999999</v>
      </c>
      <c r="D178" s="79">
        <f>121634.25</f>
        <v>121634.25</v>
      </c>
      <c r="E178" s="79">
        <f>25766.89</f>
        <v>25766.89</v>
      </c>
      <c r="F178" s="79">
        <v>0</v>
      </c>
      <c r="G178" s="79">
        <v>0</v>
      </c>
      <c r="H178" s="80">
        <f t="shared" ref="H178" si="19">SUM(B178:G178)</f>
        <v>320360.74450000003</v>
      </c>
    </row>
    <row r="179" spans="1:8" x14ac:dyDescent="0.2">
      <c r="A179" s="81" t="s">
        <v>141</v>
      </c>
      <c r="B179" s="10">
        <v>0</v>
      </c>
      <c r="C179" s="10">
        <v>50290.16</v>
      </c>
      <c r="D179" s="10">
        <v>183036.73</v>
      </c>
      <c r="E179" s="10">
        <f>62662.6</f>
        <v>62662.6</v>
      </c>
      <c r="F179" s="10">
        <f>25766.89</f>
        <v>25766.89</v>
      </c>
      <c r="G179" s="10">
        <v>0</v>
      </c>
      <c r="H179" s="82">
        <f>SUM(B179:G179)</f>
        <v>321756.38</v>
      </c>
    </row>
    <row r="180" spans="1:8" ht="13.5" thickBot="1" x14ac:dyDescent="0.25">
      <c r="A180" s="83" t="s">
        <v>150</v>
      </c>
      <c r="B180" s="84">
        <f>B178-B179</f>
        <v>24350.584500000001</v>
      </c>
      <c r="C180" s="85">
        <f>B180+C178-C179</f>
        <v>122669.44449999998</v>
      </c>
      <c r="D180" s="85">
        <f>C180+D178-D179</f>
        <v>61266.964499999973</v>
      </c>
      <c r="E180" s="85">
        <f>D180+E178-E179</f>
        <v>24371.254499999974</v>
      </c>
      <c r="F180" s="85">
        <f t="shared" ref="F180" si="20">E180+F178-F179</f>
        <v>-1395.6355000000258</v>
      </c>
      <c r="G180" s="85">
        <f t="shared" ref="G180" si="21">F180+G178-G179</f>
        <v>-1395.6355000000258</v>
      </c>
      <c r="H180" s="86"/>
    </row>
  </sheetData>
  <autoFilter ref="A1:U119" xr:uid="{4ABA3BC3-8023-4B4C-A20D-DE4822BA870B}"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5">
    <mergeCell ref="A1:A2"/>
    <mergeCell ref="F1:J1"/>
    <mergeCell ref="K1:N1"/>
    <mergeCell ref="O1:Q1"/>
    <mergeCell ref="R1:U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9CFCE-879C-47D1-88FA-F8562E1F08CD}">
  <sheetPr>
    <tabColor theme="0"/>
  </sheetPr>
  <dimension ref="A1:V183"/>
  <sheetViews>
    <sheetView workbookViewId="0">
      <selection sqref="A1:A2"/>
    </sheetView>
  </sheetViews>
  <sheetFormatPr defaultColWidth="9.140625" defaultRowHeight="12.75" x14ac:dyDescent="0.2"/>
  <cols>
    <col min="1" max="1" width="52.42578125" style="4" customWidth="1"/>
    <col min="2" max="21" width="14.7109375" style="14" customWidth="1"/>
    <col min="22" max="22" width="12.7109375" style="4" customWidth="1"/>
    <col min="23" max="16384" width="9.140625" style="4"/>
  </cols>
  <sheetData>
    <row r="1" spans="1:22" ht="21" customHeight="1" x14ac:dyDescent="0.2">
      <c r="A1" s="372" t="s">
        <v>0</v>
      </c>
      <c r="B1" s="71">
        <v>2018</v>
      </c>
      <c r="C1" s="71" t="s">
        <v>149</v>
      </c>
      <c r="D1" s="71" t="s">
        <v>147</v>
      </c>
      <c r="E1" s="71" t="s">
        <v>148</v>
      </c>
      <c r="F1" s="374" t="s">
        <v>113</v>
      </c>
      <c r="G1" s="368"/>
      <c r="H1" s="368"/>
      <c r="I1" s="368"/>
      <c r="J1" s="375"/>
      <c r="K1" s="367" t="s">
        <v>114</v>
      </c>
      <c r="L1" s="370"/>
      <c r="M1" s="371"/>
      <c r="N1" s="369"/>
      <c r="O1" s="367" t="s">
        <v>115</v>
      </c>
      <c r="P1" s="368"/>
      <c r="Q1" s="369"/>
      <c r="R1" s="367" t="s">
        <v>116</v>
      </c>
      <c r="S1" s="368"/>
      <c r="T1" s="368"/>
      <c r="U1" s="369"/>
    </row>
    <row r="2" spans="1:22" ht="25.5" x14ac:dyDescent="0.2">
      <c r="A2" s="373"/>
      <c r="B2" s="21"/>
      <c r="C2" s="21"/>
      <c r="D2" s="21"/>
      <c r="E2" s="21"/>
      <c r="F2" s="21" t="s">
        <v>143</v>
      </c>
      <c r="G2" s="75" t="s">
        <v>36</v>
      </c>
      <c r="H2" s="5" t="s">
        <v>152</v>
      </c>
      <c r="I2" s="57" t="s">
        <v>139</v>
      </c>
      <c r="J2" s="22" t="s">
        <v>140</v>
      </c>
      <c r="K2" s="21" t="s">
        <v>143</v>
      </c>
      <c r="L2" s="5" t="s">
        <v>152</v>
      </c>
      <c r="M2" s="57" t="s">
        <v>139</v>
      </c>
      <c r="N2" s="22" t="s">
        <v>140</v>
      </c>
      <c r="O2" s="5" t="s">
        <v>152</v>
      </c>
      <c r="P2" s="57" t="s">
        <v>139</v>
      </c>
      <c r="Q2" s="22" t="s">
        <v>140</v>
      </c>
      <c r="R2" s="5" t="s">
        <v>152</v>
      </c>
      <c r="S2" s="75" t="s">
        <v>36</v>
      </c>
      <c r="T2" s="57" t="s">
        <v>139</v>
      </c>
      <c r="U2" s="22" t="s">
        <v>140</v>
      </c>
    </row>
    <row r="3" spans="1:22" s="37" customFormat="1" x14ac:dyDescent="0.2">
      <c r="A3" s="38" t="s">
        <v>94</v>
      </c>
      <c r="B3" s="43"/>
      <c r="C3" s="43"/>
      <c r="D3" s="43"/>
      <c r="E3" s="43"/>
      <c r="F3" s="43"/>
      <c r="G3" s="44"/>
      <c r="H3" s="45"/>
      <c r="I3" s="58">
        <v>43590</v>
      </c>
      <c r="J3" s="46"/>
      <c r="K3" s="43"/>
      <c r="L3" s="45"/>
      <c r="M3" s="45">
        <v>9800</v>
      </c>
      <c r="N3" s="46">
        <v>53390</v>
      </c>
      <c r="O3" s="43"/>
      <c r="P3" s="45"/>
      <c r="Q3" s="46"/>
      <c r="R3" s="43"/>
      <c r="S3" s="55"/>
      <c r="T3" s="55"/>
      <c r="U3" s="46"/>
      <c r="V3" s="101">
        <f>C3+D3+I3+M3+P3+T3-E3-J3-N3-Q3-U3</f>
        <v>0</v>
      </c>
    </row>
    <row r="4" spans="1:22" s="37" customFormat="1" x14ac:dyDescent="0.2">
      <c r="A4" s="38" t="s">
        <v>95</v>
      </c>
      <c r="B4" s="43"/>
      <c r="C4" s="43"/>
      <c r="D4" s="43"/>
      <c r="E4" s="43"/>
      <c r="F4" s="43"/>
      <c r="G4" s="44"/>
      <c r="H4" s="45"/>
      <c r="I4" s="58"/>
      <c r="J4" s="46"/>
      <c r="K4" s="43"/>
      <c r="L4" s="45"/>
      <c r="M4" s="45">
        <v>41615</v>
      </c>
      <c r="N4" s="46"/>
      <c r="O4" s="43"/>
      <c r="P4" s="45">
        <v>125000</v>
      </c>
      <c r="Q4" s="46">
        <v>41000</v>
      </c>
      <c r="R4" s="43"/>
      <c r="S4" s="55"/>
      <c r="T4" s="55"/>
      <c r="U4" s="46">
        <v>125615</v>
      </c>
      <c r="V4" s="101">
        <f>C4+D4+I4+M4+P4+T4-E4-J4-N4-Q4-U4</f>
        <v>0</v>
      </c>
    </row>
    <row r="5" spans="1:22" s="37" customFormat="1" ht="25.5" x14ac:dyDescent="0.2">
      <c r="A5" s="38" t="s">
        <v>96</v>
      </c>
      <c r="B5" s="43"/>
      <c r="C5" s="43"/>
      <c r="D5" s="43"/>
      <c r="E5" s="43"/>
      <c r="F5" s="43"/>
      <c r="G5" s="44"/>
      <c r="H5" s="45"/>
      <c r="I5" s="58">
        <v>0</v>
      </c>
      <c r="J5" s="46"/>
      <c r="K5" s="43"/>
      <c r="L5" s="45"/>
      <c r="M5" s="45">
        <v>61600</v>
      </c>
      <c r="N5" s="46">
        <v>0</v>
      </c>
      <c r="O5" s="43"/>
      <c r="P5" s="45"/>
      <c r="Q5" s="46">
        <v>61600</v>
      </c>
      <c r="R5" s="43"/>
      <c r="S5" s="55"/>
      <c r="T5" s="55"/>
      <c r="U5" s="46"/>
      <c r="V5" s="101">
        <f t="shared" ref="V5:V70" si="0">C5+D5+I5+M5+P5+T5-E5-J5-N5-Q5-U5</f>
        <v>0</v>
      </c>
    </row>
    <row r="6" spans="1:22" s="37" customFormat="1" x14ac:dyDescent="0.2">
      <c r="A6" s="38" t="s">
        <v>97</v>
      </c>
      <c r="B6" s="43"/>
      <c r="C6" s="43">
        <v>49967.695000000007</v>
      </c>
      <c r="D6" s="43"/>
      <c r="E6" s="43">
        <v>49812.41</v>
      </c>
      <c r="F6" s="43"/>
      <c r="G6" s="44"/>
      <c r="H6" s="45"/>
      <c r="I6" s="58"/>
      <c r="J6" s="46"/>
      <c r="K6" s="43"/>
      <c r="L6" s="45"/>
      <c r="M6" s="45"/>
      <c r="N6" s="46"/>
      <c r="O6" s="43"/>
      <c r="P6" s="45"/>
      <c r="Q6" s="46"/>
      <c r="R6" s="43"/>
      <c r="S6" s="55"/>
      <c r="T6" s="55"/>
      <c r="U6" s="46"/>
      <c r="V6" s="101">
        <f t="shared" si="0"/>
        <v>155.28500000000349</v>
      </c>
    </row>
    <row r="7" spans="1:22" s="37" customFormat="1" x14ac:dyDescent="0.2">
      <c r="A7" s="39" t="s">
        <v>37</v>
      </c>
      <c r="B7" s="43"/>
      <c r="C7" s="43"/>
      <c r="D7" s="43">
        <v>26008.13</v>
      </c>
      <c r="E7" s="43"/>
      <c r="F7" s="43"/>
      <c r="G7" s="44"/>
      <c r="H7" s="45"/>
      <c r="I7" s="58"/>
      <c r="J7" s="46">
        <v>25956.75</v>
      </c>
      <c r="K7" s="43"/>
      <c r="L7" s="45"/>
      <c r="M7" s="45"/>
      <c r="N7" s="46"/>
      <c r="O7" s="43"/>
      <c r="P7" s="45"/>
      <c r="Q7" s="46"/>
      <c r="R7" s="43"/>
      <c r="S7" s="55"/>
      <c r="T7" s="55"/>
      <c r="U7" s="46"/>
      <c r="V7" s="101">
        <f t="shared" si="0"/>
        <v>51.380000000001019</v>
      </c>
    </row>
    <row r="8" spans="1:22" s="37" customFormat="1" x14ac:dyDescent="0.2">
      <c r="A8" s="39" t="s">
        <v>39</v>
      </c>
      <c r="B8" s="43"/>
      <c r="C8" s="43">
        <v>28740.21488</v>
      </c>
      <c r="D8" s="43"/>
      <c r="E8" s="43">
        <v>28692.21</v>
      </c>
      <c r="F8" s="43"/>
      <c r="G8" s="44"/>
      <c r="H8" s="45"/>
      <c r="I8" s="58"/>
      <c r="J8" s="46"/>
      <c r="K8" s="43"/>
      <c r="L8" s="45"/>
      <c r="M8" s="45"/>
      <c r="N8" s="46"/>
      <c r="O8" s="43"/>
      <c r="P8" s="45"/>
      <c r="Q8" s="46"/>
      <c r="R8" s="43"/>
      <c r="S8" s="55"/>
      <c r="T8" s="55"/>
      <c r="U8" s="46"/>
      <c r="V8" s="101">
        <f t="shared" si="0"/>
        <v>48.004880000000412</v>
      </c>
    </row>
    <row r="9" spans="1:22" s="37" customFormat="1" x14ac:dyDescent="0.2">
      <c r="A9" s="39" t="s">
        <v>142</v>
      </c>
      <c r="B9" s="43"/>
      <c r="C9" s="43">
        <v>92990.592149999997</v>
      </c>
      <c r="D9" s="43">
        <v>35376.769999999997</v>
      </c>
      <c r="E9" s="43"/>
      <c r="F9" s="43"/>
      <c r="G9" s="44"/>
      <c r="H9" s="45"/>
      <c r="I9" s="58"/>
      <c r="J9" s="46">
        <v>128368</v>
      </c>
      <c r="K9" s="43"/>
      <c r="L9" s="45"/>
      <c r="M9" s="45"/>
      <c r="N9" s="46"/>
      <c r="O9" s="43"/>
      <c r="P9" s="45"/>
      <c r="Q9" s="46"/>
      <c r="R9" s="43"/>
      <c r="S9" s="55"/>
      <c r="T9" s="55"/>
      <c r="U9" s="46"/>
      <c r="V9" s="101">
        <f t="shared" si="0"/>
        <v>-0.63784999999916181</v>
      </c>
    </row>
    <row r="10" spans="1:22" s="37" customFormat="1" ht="25.5" x14ac:dyDescent="0.2">
      <c r="A10" s="39" t="s">
        <v>38</v>
      </c>
      <c r="B10" s="43"/>
      <c r="C10" s="43">
        <v>31682.355830000008</v>
      </c>
      <c r="D10" s="43">
        <v>33997.089999999997</v>
      </c>
      <c r="E10" s="43"/>
      <c r="F10" s="43"/>
      <c r="G10" s="44"/>
      <c r="H10" s="45"/>
      <c r="I10" s="58"/>
      <c r="J10" s="46">
        <v>65679.45</v>
      </c>
      <c r="K10" s="43"/>
      <c r="L10" s="45"/>
      <c r="M10" s="45"/>
      <c r="N10" s="46"/>
      <c r="O10" s="43"/>
      <c r="P10" s="45"/>
      <c r="Q10" s="46"/>
      <c r="R10" s="43"/>
      <c r="S10" s="55"/>
      <c r="T10" s="55"/>
      <c r="U10" s="46"/>
      <c r="V10" s="101">
        <f t="shared" si="0"/>
        <v>-4.1699999856064096E-3</v>
      </c>
    </row>
    <row r="11" spans="1:22" s="37" customFormat="1" ht="25.5" x14ac:dyDescent="0.2">
      <c r="A11" s="39" t="s">
        <v>40</v>
      </c>
      <c r="B11" s="43"/>
      <c r="C11" s="43">
        <v>61875.870090000004</v>
      </c>
      <c r="D11" s="43">
        <v>20356.8</v>
      </c>
      <c r="E11" s="43">
        <v>82232.67</v>
      </c>
      <c r="F11" s="43"/>
      <c r="G11" s="44"/>
      <c r="H11" s="45"/>
      <c r="I11" s="58"/>
      <c r="J11" s="46"/>
      <c r="K11" s="43"/>
      <c r="L11" s="45"/>
      <c r="M11" s="45"/>
      <c r="N11" s="46"/>
      <c r="O11" s="43"/>
      <c r="P11" s="45"/>
      <c r="Q11" s="46"/>
      <c r="R11" s="43"/>
      <c r="S11" s="55"/>
      <c r="T11" s="55"/>
      <c r="U11" s="46"/>
      <c r="V11" s="101">
        <f t="shared" si="0"/>
        <v>9.0000001364387572E-5</v>
      </c>
    </row>
    <row r="12" spans="1:22" s="37" customFormat="1" ht="25.5" x14ac:dyDescent="0.2">
      <c r="A12" s="39" t="s">
        <v>41</v>
      </c>
      <c r="B12" s="43"/>
      <c r="C12" s="43"/>
      <c r="D12" s="43">
        <v>190.46</v>
      </c>
      <c r="E12" s="43"/>
      <c r="F12" s="43"/>
      <c r="G12" s="44"/>
      <c r="H12" s="45"/>
      <c r="I12" s="58">
        <v>37759.83</v>
      </c>
      <c r="J12" s="46">
        <v>0</v>
      </c>
      <c r="K12" s="43"/>
      <c r="L12" s="45"/>
      <c r="M12" s="45">
        <v>5071</v>
      </c>
      <c r="N12" s="46">
        <v>43022</v>
      </c>
      <c r="O12" s="43"/>
      <c r="P12" s="45"/>
      <c r="Q12" s="46"/>
      <c r="R12" s="43"/>
      <c r="S12" s="55"/>
      <c r="T12" s="55"/>
      <c r="U12" s="46"/>
      <c r="V12" s="101">
        <f t="shared" si="0"/>
        <v>-0.70999999999912689</v>
      </c>
    </row>
    <row r="13" spans="1:22" s="37" customFormat="1" ht="25.5" x14ac:dyDescent="0.2">
      <c r="A13" s="39" t="s">
        <v>43</v>
      </c>
      <c r="B13" s="43"/>
      <c r="C13" s="43"/>
      <c r="D13" s="43"/>
      <c r="E13" s="43"/>
      <c r="F13" s="43"/>
      <c r="G13" s="44"/>
      <c r="H13" s="45"/>
      <c r="I13" s="58">
        <v>44419.3</v>
      </c>
      <c r="J13" s="46"/>
      <c r="K13" s="43"/>
      <c r="L13" s="45"/>
      <c r="M13" s="45">
        <v>28620</v>
      </c>
      <c r="N13" s="46">
        <v>73040</v>
      </c>
      <c r="O13" s="43"/>
      <c r="P13" s="45"/>
      <c r="Q13" s="46"/>
      <c r="R13" s="43"/>
      <c r="S13" s="55"/>
      <c r="T13" s="55"/>
      <c r="U13" s="46"/>
      <c r="V13" s="101">
        <f t="shared" si="0"/>
        <v>-0.69999999999708962</v>
      </c>
    </row>
    <row r="14" spans="1:22" s="37" customFormat="1" ht="25.5" x14ac:dyDescent="0.2">
      <c r="A14" s="39" t="s">
        <v>42</v>
      </c>
      <c r="B14" s="43"/>
      <c r="C14" s="43">
        <v>50463.757810000003</v>
      </c>
      <c r="D14" s="43"/>
      <c r="E14" s="43">
        <v>46106.89</v>
      </c>
      <c r="F14" s="43"/>
      <c r="G14" s="44"/>
      <c r="H14" s="45"/>
      <c r="I14" s="58"/>
      <c r="J14" s="46"/>
      <c r="K14" s="43"/>
      <c r="L14" s="45"/>
      <c r="M14" s="45"/>
      <c r="N14" s="46"/>
      <c r="O14" s="43"/>
      <c r="P14" s="45"/>
      <c r="Q14" s="46"/>
      <c r="R14" s="43"/>
      <c r="S14" s="55"/>
      <c r="T14" s="55"/>
      <c r="U14" s="46"/>
      <c r="V14" s="101">
        <f t="shared" si="0"/>
        <v>4356.8678100000034</v>
      </c>
    </row>
    <row r="15" spans="1:22" s="37" customFormat="1" x14ac:dyDescent="0.2">
      <c r="A15" s="39" t="s">
        <v>195</v>
      </c>
      <c r="B15" s="43"/>
      <c r="C15" s="43">
        <v>12</v>
      </c>
      <c r="D15" s="43"/>
      <c r="E15" s="43"/>
      <c r="F15" s="43"/>
      <c r="G15" s="44"/>
      <c r="H15" s="45"/>
      <c r="I15" s="58"/>
      <c r="J15" s="46"/>
      <c r="K15" s="43"/>
      <c r="L15" s="45"/>
      <c r="M15" s="45"/>
      <c r="N15" s="46"/>
      <c r="O15" s="43"/>
      <c r="P15" s="45"/>
      <c r="Q15" s="46"/>
      <c r="R15" s="43"/>
      <c r="S15" s="55"/>
      <c r="T15" s="55"/>
      <c r="U15" s="46"/>
      <c r="V15" s="101">
        <f t="shared" si="0"/>
        <v>12</v>
      </c>
    </row>
    <row r="16" spans="1:22" s="37" customFormat="1" x14ac:dyDescent="0.2">
      <c r="A16" s="39" t="s">
        <v>44</v>
      </c>
      <c r="B16" s="43"/>
      <c r="C16" s="43"/>
      <c r="D16" s="43"/>
      <c r="E16" s="43"/>
      <c r="F16" s="43"/>
      <c r="G16" s="44"/>
      <c r="H16" s="45"/>
      <c r="I16" s="58">
        <v>38810.980000000003</v>
      </c>
      <c r="J16" s="46">
        <v>38810.980000000003</v>
      </c>
      <c r="K16" s="43"/>
      <c r="L16" s="45"/>
      <c r="M16" s="45"/>
      <c r="N16" s="46"/>
      <c r="O16" s="43"/>
      <c r="P16" s="45"/>
      <c r="Q16" s="46"/>
      <c r="R16" s="43"/>
      <c r="S16" s="55"/>
      <c r="T16" s="55"/>
      <c r="U16" s="46"/>
      <c r="V16" s="101">
        <f t="shared" si="0"/>
        <v>0</v>
      </c>
    </row>
    <row r="17" spans="1:22" s="37" customFormat="1" x14ac:dyDescent="0.2">
      <c r="A17" s="39" t="s">
        <v>45</v>
      </c>
      <c r="B17" s="43"/>
      <c r="C17" s="43"/>
      <c r="D17" s="43">
        <v>27498.560000000001</v>
      </c>
      <c r="E17" s="43"/>
      <c r="F17" s="43"/>
      <c r="G17" s="44"/>
      <c r="H17" s="45"/>
      <c r="I17" s="58">
        <v>1265.94</v>
      </c>
      <c r="J17" s="46">
        <v>28764.5</v>
      </c>
      <c r="K17" s="43"/>
      <c r="L17" s="45"/>
      <c r="M17" s="45"/>
      <c r="N17" s="46"/>
      <c r="O17" s="43"/>
      <c r="P17" s="45"/>
      <c r="Q17" s="46"/>
      <c r="R17" s="43"/>
      <c r="S17" s="55"/>
      <c r="T17" s="55"/>
      <c r="U17" s="46"/>
      <c r="V17" s="101">
        <f t="shared" si="0"/>
        <v>0</v>
      </c>
    </row>
    <row r="18" spans="1:22" s="37" customFormat="1" ht="25.5" x14ac:dyDescent="0.2">
      <c r="A18" s="39" t="s">
        <v>46</v>
      </c>
      <c r="B18" s="43"/>
      <c r="C18" s="43"/>
      <c r="D18" s="43"/>
      <c r="E18" s="43"/>
      <c r="F18" s="43"/>
      <c r="G18" s="44"/>
      <c r="H18" s="45"/>
      <c r="I18" s="58"/>
      <c r="J18" s="46"/>
      <c r="K18" s="43"/>
      <c r="L18" s="45"/>
      <c r="M18" s="45"/>
      <c r="N18" s="46"/>
      <c r="O18" s="43"/>
      <c r="P18" s="45">
        <v>63270</v>
      </c>
      <c r="Q18" s="46">
        <v>63270</v>
      </c>
      <c r="R18" s="43"/>
      <c r="S18" s="55"/>
      <c r="T18" s="55"/>
      <c r="U18" s="46"/>
      <c r="V18" s="101">
        <f t="shared" si="0"/>
        <v>0</v>
      </c>
    </row>
    <row r="19" spans="1:22" s="37" customFormat="1" x14ac:dyDescent="0.2">
      <c r="A19" s="39" t="s">
        <v>47</v>
      </c>
      <c r="B19" s="43"/>
      <c r="C19" s="43"/>
      <c r="D19" s="43"/>
      <c r="E19" s="43"/>
      <c r="F19" s="43"/>
      <c r="G19" s="44"/>
      <c r="H19" s="45"/>
      <c r="I19" s="58">
        <v>38440.6</v>
      </c>
      <c r="J19" s="46"/>
      <c r="K19" s="43"/>
      <c r="L19" s="45"/>
      <c r="M19" s="45">
        <v>56838</v>
      </c>
      <c r="N19" s="46"/>
      <c r="O19" s="43"/>
      <c r="P19" s="45"/>
      <c r="Q19" s="46">
        <v>95278</v>
      </c>
      <c r="R19" s="43"/>
      <c r="S19" s="55"/>
      <c r="T19" s="55"/>
      <c r="U19" s="46"/>
      <c r="V19" s="101">
        <f t="shared" si="0"/>
        <v>0.60000000000582077</v>
      </c>
    </row>
    <row r="20" spans="1:22" s="37" customFormat="1" x14ac:dyDescent="0.2">
      <c r="A20" s="39" t="s">
        <v>48</v>
      </c>
      <c r="B20" s="43"/>
      <c r="C20" s="43"/>
      <c r="D20" s="43"/>
      <c r="E20" s="43"/>
      <c r="F20" s="43"/>
      <c r="G20" s="44"/>
      <c r="H20" s="45"/>
      <c r="I20" s="58"/>
      <c r="J20" s="46"/>
      <c r="K20" s="43"/>
      <c r="L20" s="45"/>
      <c r="M20" s="45">
        <v>34440</v>
      </c>
      <c r="N20" s="46">
        <v>0</v>
      </c>
      <c r="O20" s="43"/>
      <c r="P20" s="45"/>
      <c r="Q20" s="46">
        <v>34440</v>
      </c>
      <c r="R20" s="43"/>
      <c r="S20" s="55"/>
      <c r="T20" s="55"/>
      <c r="U20" s="46"/>
      <c r="V20" s="101">
        <f t="shared" si="0"/>
        <v>0</v>
      </c>
    </row>
    <row r="21" spans="1:22" s="37" customFormat="1" ht="25.5" x14ac:dyDescent="0.2">
      <c r="A21" s="39" t="s">
        <v>49</v>
      </c>
      <c r="B21" s="43"/>
      <c r="C21" s="43"/>
      <c r="D21" s="43"/>
      <c r="E21" s="43"/>
      <c r="F21" s="43"/>
      <c r="G21" s="44"/>
      <c r="H21" s="45"/>
      <c r="I21" s="58"/>
      <c r="J21" s="46"/>
      <c r="K21" s="43"/>
      <c r="L21" s="45"/>
      <c r="M21" s="45"/>
      <c r="N21" s="46"/>
      <c r="O21" s="43"/>
      <c r="P21" s="45">
        <v>45465</v>
      </c>
      <c r="Q21" s="46">
        <v>45465</v>
      </c>
      <c r="R21" s="43"/>
      <c r="S21" s="55"/>
      <c r="T21" s="55"/>
      <c r="U21" s="46"/>
      <c r="V21" s="101">
        <f t="shared" si="0"/>
        <v>0</v>
      </c>
    </row>
    <row r="22" spans="1:22" s="37" customFormat="1" ht="38.25" x14ac:dyDescent="0.2">
      <c r="A22" s="39" t="s">
        <v>50</v>
      </c>
      <c r="B22" s="43"/>
      <c r="C22" s="43"/>
      <c r="D22" s="43"/>
      <c r="E22" s="43"/>
      <c r="F22" s="43"/>
      <c r="G22" s="44"/>
      <c r="H22" s="45"/>
      <c r="I22" s="58"/>
      <c r="J22" s="46"/>
      <c r="K22" s="43"/>
      <c r="L22" s="45"/>
      <c r="M22" s="45"/>
      <c r="N22" s="46"/>
      <c r="O22" s="43"/>
      <c r="P22" s="45">
        <v>121800</v>
      </c>
      <c r="Q22" s="46">
        <v>121800</v>
      </c>
      <c r="R22" s="43"/>
      <c r="S22" s="55"/>
      <c r="T22" s="55"/>
      <c r="U22" s="46"/>
      <c r="V22" s="101">
        <f t="shared" si="0"/>
        <v>0</v>
      </c>
    </row>
    <row r="23" spans="1:22" s="37" customFormat="1" ht="25.5" x14ac:dyDescent="0.2">
      <c r="A23" s="39" t="s">
        <v>51</v>
      </c>
      <c r="B23" s="43"/>
      <c r="C23" s="43"/>
      <c r="D23" s="43"/>
      <c r="E23" s="43"/>
      <c r="F23" s="43"/>
      <c r="G23" s="44"/>
      <c r="H23" s="45"/>
      <c r="I23" s="58"/>
      <c r="J23" s="46"/>
      <c r="K23" s="43"/>
      <c r="L23" s="45"/>
      <c r="M23" s="45"/>
      <c r="N23" s="46"/>
      <c r="O23" s="43"/>
      <c r="P23" s="45">
        <v>45163</v>
      </c>
      <c r="Q23" s="46">
        <v>45163</v>
      </c>
      <c r="R23" s="43"/>
      <c r="S23" s="55"/>
      <c r="T23" s="55"/>
      <c r="U23" s="46"/>
      <c r="V23" s="101">
        <f t="shared" si="0"/>
        <v>0</v>
      </c>
    </row>
    <row r="24" spans="1:22" s="37" customFormat="1" ht="25.5" x14ac:dyDescent="0.2">
      <c r="A24" s="39" t="s">
        <v>52</v>
      </c>
      <c r="B24" s="43"/>
      <c r="C24" s="43"/>
      <c r="D24" s="43"/>
      <c r="E24" s="43"/>
      <c r="F24" s="43"/>
      <c r="G24" s="44"/>
      <c r="H24" s="45"/>
      <c r="I24" s="58">
        <v>0</v>
      </c>
      <c r="J24" s="46"/>
      <c r="K24" s="43"/>
      <c r="L24" s="45"/>
      <c r="M24" s="45"/>
      <c r="N24" s="46"/>
      <c r="O24" s="43"/>
      <c r="P24" s="45">
        <v>14720</v>
      </c>
      <c r="Q24" s="46">
        <v>14720</v>
      </c>
      <c r="R24" s="43"/>
      <c r="S24" s="55"/>
      <c r="T24" s="55"/>
      <c r="U24" s="46"/>
      <c r="V24" s="101">
        <f t="shared" si="0"/>
        <v>0</v>
      </c>
    </row>
    <row r="25" spans="1:22" s="37" customFormat="1" ht="25.5" x14ac:dyDescent="0.2">
      <c r="A25" s="39" t="s">
        <v>53</v>
      </c>
      <c r="B25" s="43"/>
      <c r="C25" s="43"/>
      <c r="D25" s="43"/>
      <c r="E25" s="43"/>
      <c r="F25" s="43"/>
      <c r="G25" s="44"/>
      <c r="H25" s="45"/>
      <c r="I25" s="58"/>
      <c r="J25" s="46"/>
      <c r="K25" s="43"/>
      <c r="L25" s="45"/>
      <c r="M25" s="45"/>
      <c r="N25" s="46"/>
      <c r="O25" s="43"/>
      <c r="P25" s="45">
        <v>13293</v>
      </c>
      <c r="Q25" s="46">
        <v>13293</v>
      </c>
      <c r="R25" s="43"/>
      <c r="S25" s="55"/>
      <c r="T25" s="55"/>
      <c r="U25" s="46"/>
      <c r="V25" s="101">
        <f t="shared" si="0"/>
        <v>0</v>
      </c>
    </row>
    <row r="26" spans="1:22" s="37" customFormat="1" ht="25.5" x14ac:dyDescent="0.2">
      <c r="A26" s="39" t="s">
        <v>54</v>
      </c>
      <c r="B26" s="43"/>
      <c r="C26" s="43"/>
      <c r="D26" s="43"/>
      <c r="E26" s="43"/>
      <c r="F26" s="43"/>
      <c r="G26" s="44"/>
      <c r="H26" s="45"/>
      <c r="I26" s="58"/>
      <c r="J26" s="46"/>
      <c r="K26" s="43"/>
      <c r="L26" s="45"/>
      <c r="M26" s="45">
        <v>109777</v>
      </c>
      <c r="N26" s="46"/>
      <c r="O26" s="43"/>
      <c r="P26" s="45">
        <v>0</v>
      </c>
      <c r="Q26" s="46">
        <v>109778</v>
      </c>
      <c r="R26" s="43"/>
      <c r="S26" s="55"/>
      <c r="T26" s="55"/>
      <c r="U26" s="46"/>
      <c r="V26" s="101">
        <f t="shared" si="0"/>
        <v>-1</v>
      </c>
    </row>
    <row r="27" spans="1:22" s="37" customFormat="1" ht="25.5" x14ac:dyDescent="0.2">
      <c r="A27" s="39" t="s">
        <v>55</v>
      </c>
      <c r="B27" s="43"/>
      <c r="C27" s="43"/>
      <c r="D27" s="43"/>
      <c r="E27" s="43"/>
      <c r="F27" s="43"/>
      <c r="G27" s="44"/>
      <c r="H27" s="45"/>
      <c r="I27" s="58">
        <v>42300</v>
      </c>
      <c r="J27" s="46"/>
      <c r="K27" s="43"/>
      <c r="L27" s="45"/>
      <c r="M27" s="45">
        <v>70091</v>
      </c>
      <c r="N27" s="46"/>
      <c r="O27" s="43"/>
      <c r="P27" s="45"/>
      <c r="Q27" s="46">
        <v>112391</v>
      </c>
      <c r="R27" s="43"/>
      <c r="S27" s="55"/>
      <c r="T27" s="55"/>
      <c r="U27" s="46"/>
      <c r="V27" s="101">
        <f t="shared" si="0"/>
        <v>0</v>
      </c>
    </row>
    <row r="28" spans="1:22" s="37" customFormat="1" ht="25.5" x14ac:dyDescent="0.2">
      <c r="A28" s="39" t="s">
        <v>56</v>
      </c>
      <c r="B28" s="43"/>
      <c r="C28" s="43"/>
      <c r="D28" s="43"/>
      <c r="E28" s="43"/>
      <c r="F28" s="43"/>
      <c r="G28" s="44"/>
      <c r="H28" s="45"/>
      <c r="I28" s="58"/>
      <c r="J28" s="46"/>
      <c r="K28" s="43"/>
      <c r="L28" s="45"/>
      <c r="M28" s="45"/>
      <c r="N28" s="46"/>
      <c r="O28" s="43"/>
      <c r="P28" s="45">
        <v>25800</v>
      </c>
      <c r="Q28" s="46">
        <v>25800</v>
      </c>
      <c r="R28" s="43"/>
      <c r="S28" s="55"/>
      <c r="T28" s="55"/>
      <c r="U28" s="46"/>
      <c r="V28" s="101">
        <f t="shared" si="0"/>
        <v>0</v>
      </c>
    </row>
    <row r="29" spans="1:22" s="37" customFormat="1" x14ac:dyDescent="0.2">
      <c r="A29" s="39" t="s">
        <v>57</v>
      </c>
      <c r="B29" s="43"/>
      <c r="C29" s="43"/>
      <c r="D29" s="43"/>
      <c r="E29" s="43"/>
      <c r="F29" s="43"/>
      <c r="G29" s="44"/>
      <c r="H29" s="45"/>
      <c r="I29" s="58">
        <v>0</v>
      </c>
      <c r="J29" s="46"/>
      <c r="K29" s="43"/>
      <c r="L29" s="45"/>
      <c r="M29" s="45">
        <v>102513</v>
      </c>
      <c r="N29" s="46"/>
      <c r="O29" s="43"/>
      <c r="P29" s="45">
        <v>0</v>
      </c>
      <c r="Q29" s="46">
        <v>102513</v>
      </c>
      <c r="R29" s="43"/>
      <c r="S29" s="55"/>
      <c r="T29" s="55"/>
      <c r="U29" s="46"/>
      <c r="V29" s="101">
        <f t="shared" si="0"/>
        <v>0</v>
      </c>
    </row>
    <row r="30" spans="1:22" s="37" customFormat="1" x14ac:dyDescent="0.2">
      <c r="A30" s="39" t="s">
        <v>58</v>
      </c>
      <c r="B30" s="43"/>
      <c r="C30" s="43"/>
      <c r="D30" s="43"/>
      <c r="E30" s="43"/>
      <c r="F30" s="43"/>
      <c r="G30" s="44"/>
      <c r="H30" s="45"/>
      <c r="I30" s="58">
        <v>3930</v>
      </c>
      <c r="J30" s="46"/>
      <c r="K30" s="43"/>
      <c r="L30" s="45"/>
      <c r="M30" s="45"/>
      <c r="N30" s="46">
        <v>3930</v>
      </c>
      <c r="O30" s="43"/>
      <c r="P30" s="45"/>
      <c r="Q30" s="46"/>
      <c r="R30" s="43"/>
      <c r="S30" s="55"/>
      <c r="T30" s="55"/>
      <c r="U30" s="46"/>
      <c r="V30" s="101">
        <f t="shared" si="0"/>
        <v>0</v>
      </c>
    </row>
    <row r="31" spans="1:22" s="37" customFormat="1" x14ac:dyDescent="0.2">
      <c r="A31" s="39" t="s">
        <v>59</v>
      </c>
      <c r="B31" s="43"/>
      <c r="C31" s="43"/>
      <c r="D31" s="43"/>
      <c r="E31" s="43"/>
      <c r="F31" s="43"/>
      <c r="G31" s="44"/>
      <c r="H31" s="45"/>
      <c r="I31" s="58">
        <v>3273</v>
      </c>
      <c r="J31" s="46"/>
      <c r="K31" s="43"/>
      <c r="L31" s="45"/>
      <c r="M31" s="45"/>
      <c r="N31" s="46">
        <v>3273</v>
      </c>
      <c r="O31" s="43"/>
      <c r="P31" s="45"/>
      <c r="Q31" s="46"/>
      <c r="R31" s="43"/>
      <c r="S31" s="55"/>
      <c r="T31" s="55"/>
      <c r="U31" s="46"/>
      <c r="V31" s="101">
        <f t="shared" si="0"/>
        <v>0</v>
      </c>
    </row>
    <row r="32" spans="1:22" s="37" customFormat="1" x14ac:dyDescent="0.2">
      <c r="A32" s="39" t="s">
        <v>60</v>
      </c>
      <c r="B32" s="43"/>
      <c r="C32" s="43"/>
      <c r="D32" s="43"/>
      <c r="E32" s="43"/>
      <c r="F32" s="43"/>
      <c r="G32" s="44"/>
      <c r="H32" s="45"/>
      <c r="I32" s="58">
        <v>1667</v>
      </c>
      <c r="J32" s="46"/>
      <c r="K32" s="43"/>
      <c r="L32" s="45"/>
      <c r="M32" s="45"/>
      <c r="N32" s="46">
        <v>1667</v>
      </c>
      <c r="O32" s="43"/>
      <c r="P32" s="45"/>
      <c r="Q32" s="46"/>
      <c r="R32" s="43"/>
      <c r="S32" s="55"/>
      <c r="T32" s="55"/>
      <c r="U32" s="46"/>
      <c r="V32" s="101">
        <f t="shared" si="0"/>
        <v>0</v>
      </c>
    </row>
    <row r="33" spans="1:22" ht="25.5" x14ac:dyDescent="0.2">
      <c r="A33" s="16" t="s">
        <v>26</v>
      </c>
      <c r="B33" s="23"/>
      <c r="C33" s="23"/>
      <c r="D33" s="23"/>
      <c r="E33" s="23"/>
      <c r="F33" s="23"/>
      <c r="G33" s="6"/>
      <c r="H33" s="104">
        <v>807</v>
      </c>
      <c r="I33" s="59"/>
      <c r="J33" s="24"/>
      <c r="K33" s="31"/>
      <c r="L33" s="105">
        <v>130993</v>
      </c>
      <c r="M33" s="7"/>
      <c r="N33" s="32"/>
      <c r="O33" s="23">
        <v>277178</v>
      </c>
      <c r="P33" s="7"/>
      <c r="Q33" s="24"/>
      <c r="R33" s="23"/>
      <c r="S33" s="56"/>
      <c r="T33" s="56"/>
      <c r="U33" s="24"/>
      <c r="V33" s="101">
        <f t="shared" si="0"/>
        <v>0</v>
      </c>
    </row>
    <row r="34" spans="1:22" ht="38.25" x14ac:dyDescent="0.2">
      <c r="A34" s="16" t="s">
        <v>25</v>
      </c>
      <c r="B34" s="23"/>
      <c r="C34" s="23"/>
      <c r="D34" s="23"/>
      <c r="E34" s="23"/>
      <c r="F34" s="23"/>
      <c r="G34" s="6"/>
      <c r="H34" s="104">
        <v>27298</v>
      </c>
      <c r="I34" s="59"/>
      <c r="J34" s="24"/>
      <c r="K34" s="31"/>
      <c r="L34" s="105">
        <v>29993</v>
      </c>
      <c r="M34" s="7"/>
      <c r="N34" s="32"/>
      <c r="O34" s="106">
        <v>64999</v>
      </c>
      <c r="P34" s="7"/>
      <c r="Q34" s="24"/>
      <c r="R34" s="106">
        <v>3710</v>
      </c>
      <c r="S34" s="56"/>
      <c r="T34" s="56"/>
      <c r="U34" s="24"/>
      <c r="V34" s="101">
        <f t="shared" si="0"/>
        <v>0</v>
      </c>
    </row>
    <row r="35" spans="1:22" s="8" customFormat="1" x14ac:dyDescent="0.2">
      <c r="A35" s="17" t="s">
        <v>31</v>
      </c>
      <c r="B35" s="25">
        <f t="shared" ref="B35:R35" si="1">SUM(B3:B34)</f>
        <v>0</v>
      </c>
      <c r="C35" s="25">
        <f t="shared" si="1"/>
        <v>315732.48576000001</v>
      </c>
      <c r="D35" s="25">
        <f t="shared" si="1"/>
        <v>143427.81</v>
      </c>
      <c r="E35" s="25">
        <f t="shared" si="1"/>
        <v>206844.18</v>
      </c>
      <c r="F35" s="25">
        <f t="shared" si="1"/>
        <v>0</v>
      </c>
      <c r="G35" s="1">
        <f t="shared" si="1"/>
        <v>0</v>
      </c>
      <c r="H35" s="1">
        <f t="shared" si="1"/>
        <v>28105</v>
      </c>
      <c r="I35" s="60">
        <f t="shared" si="1"/>
        <v>255456.65000000002</v>
      </c>
      <c r="J35" s="63">
        <f t="shared" si="1"/>
        <v>287579.68000000005</v>
      </c>
      <c r="K35" s="25">
        <f t="shared" si="1"/>
        <v>0</v>
      </c>
      <c r="L35" s="1">
        <f t="shared" si="1"/>
        <v>160986</v>
      </c>
      <c r="M35" s="1">
        <f t="shared" si="1"/>
        <v>520365</v>
      </c>
      <c r="N35" s="26">
        <f t="shared" si="1"/>
        <v>178322</v>
      </c>
      <c r="O35" s="25">
        <f t="shared" si="1"/>
        <v>342177</v>
      </c>
      <c r="P35" s="25">
        <f t="shared" si="1"/>
        <v>454511</v>
      </c>
      <c r="Q35" s="26">
        <f t="shared" si="1"/>
        <v>886511</v>
      </c>
      <c r="R35" s="25">
        <f t="shared" si="1"/>
        <v>3710</v>
      </c>
      <c r="S35" s="25"/>
      <c r="T35" s="25">
        <f>SUM(T3:T34)</f>
        <v>0</v>
      </c>
      <c r="U35" s="26">
        <f>SUM(U3:U34)</f>
        <v>125615</v>
      </c>
      <c r="V35" s="101">
        <f t="shared" si="0"/>
        <v>4621.0857600001618</v>
      </c>
    </row>
    <row r="36" spans="1:22" s="37" customFormat="1" ht="25.5" x14ac:dyDescent="0.2">
      <c r="A36" s="38" t="s">
        <v>101</v>
      </c>
      <c r="B36" s="43"/>
      <c r="C36" s="43"/>
      <c r="D36" s="43">
        <v>9288.98</v>
      </c>
      <c r="E36" s="43">
        <v>0</v>
      </c>
      <c r="F36" s="43"/>
      <c r="G36" s="44"/>
      <c r="H36" s="45"/>
      <c r="I36" s="58">
        <v>247.28</v>
      </c>
      <c r="J36" s="97">
        <v>8965</v>
      </c>
      <c r="K36" s="43"/>
      <c r="L36" s="45"/>
      <c r="M36" s="45"/>
      <c r="N36" s="46"/>
      <c r="O36" s="43"/>
      <c r="P36" s="55"/>
      <c r="Q36" s="46"/>
      <c r="R36" s="43"/>
      <c r="S36" s="55"/>
      <c r="T36" s="55"/>
      <c r="U36" s="46"/>
      <c r="V36" s="101">
        <f t="shared" si="0"/>
        <v>571.26000000000022</v>
      </c>
    </row>
    <row r="37" spans="1:22" s="37" customFormat="1" x14ac:dyDescent="0.2">
      <c r="A37" s="39" t="s">
        <v>61</v>
      </c>
      <c r="B37" s="43"/>
      <c r="C37" s="43">
        <v>9399.1217199999992</v>
      </c>
      <c r="D37" s="43">
        <v>3466.25</v>
      </c>
      <c r="E37" s="43"/>
      <c r="F37" s="43"/>
      <c r="G37" s="44"/>
      <c r="H37" s="45"/>
      <c r="I37" s="58">
        <v>5582.49</v>
      </c>
      <c r="J37" s="46">
        <v>18447.86</v>
      </c>
      <c r="K37" s="43"/>
      <c r="L37" s="45"/>
      <c r="M37" s="45"/>
      <c r="N37" s="46"/>
      <c r="O37" s="43"/>
      <c r="P37" s="55"/>
      <c r="Q37" s="46"/>
      <c r="R37" s="43"/>
      <c r="S37" s="55"/>
      <c r="T37" s="55"/>
      <c r="U37" s="46"/>
      <c r="V37" s="101">
        <f t="shared" si="0"/>
        <v>1.720000000204891E-3</v>
      </c>
    </row>
    <row r="38" spans="1:22" s="37" customFormat="1" x14ac:dyDescent="0.2">
      <c r="A38" s="39" t="s">
        <v>62</v>
      </c>
      <c r="B38" s="43"/>
      <c r="C38" s="43">
        <v>14752.691030000002</v>
      </c>
      <c r="D38" s="43">
        <v>8810.76</v>
      </c>
      <c r="E38" s="43">
        <v>289.41000000000003</v>
      </c>
      <c r="F38" s="43"/>
      <c r="G38" s="44"/>
      <c r="H38" s="45"/>
      <c r="I38" s="58"/>
      <c r="J38" s="46">
        <v>23274.1</v>
      </c>
      <c r="K38" s="43"/>
      <c r="L38" s="45"/>
      <c r="M38" s="45"/>
      <c r="N38" s="46"/>
      <c r="O38" s="43"/>
      <c r="P38" s="55"/>
      <c r="Q38" s="46"/>
      <c r="R38" s="43"/>
      <c r="S38" s="55"/>
      <c r="T38" s="55"/>
      <c r="U38" s="46"/>
      <c r="V38" s="101">
        <f t="shared" si="0"/>
        <v>-5.8969999994587852E-2</v>
      </c>
    </row>
    <row r="39" spans="1:22" s="37" customFormat="1" x14ac:dyDescent="0.2">
      <c r="A39" s="39" t="s">
        <v>63</v>
      </c>
      <c r="B39" s="43"/>
      <c r="C39" s="43">
        <v>21763.88624</v>
      </c>
      <c r="D39" s="43"/>
      <c r="E39" s="43">
        <v>21763.89</v>
      </c>
      <c r="F39" s="43"/>
      <c r="G39" s="44"/>
      <c r="H39" s="45"/>
      <c r="I39" s="58"/>
      <c r="J39" s="46"/>
      <c r="K39" s="43"/>
      <c r="L39" s="45"/>
      <c r="M39" s="45"/>
      <c r="N39" s="46"/>
      <c r="O39" s="43"/>
      <c r="P39" s="55"/>
      <c r="Q39" s="46"/>
      <c r="R39" s="43"/>
      <c r="S39" s="55"/>
      <c r="T39" s="55"/>
      <c r="U39" s="46"/>
      <c r="V39" s="101">
        <f t="shared" si="0"/>
        <v>-3.7599999996018596E-3</v>
      </c>
    </row>
    <row r="40" spans="1:22" s="37" customFormat="1" ht="25.5" x14ac:dyDescent="0.2">
      <c r="A40" s="39" t="s">
        <v>64</v>
      </c>
      <c r="B40" s="43"/>
      <c r="C40" s="43">
        <v>53656.974830000006</v>
      </c>
      <c r="D40" s="43">
        <v>22429.23</v>
      </c>
      <c r="E40" s="43">
        <v>76086.210000000006</v>
      </c>
      <c r="F40" s="43"/>
      <c r="G40" s="44"/>
      <c r="H40" s="45"/>
      <c r="I40" s="58"/>
      <c r="J40" s="46"/>
      <c r="K40" s="43"/>
      <c r="L40" s="45"/>
      <c r="M40" s="45"/>
      <c r="N40" s="46"/>
      <c r="O40" s="43"/>
      <c r="P40" s="55"/>
      <c r="Q40" s="46"/>
      <c r="R40" s="43"/>
      <c r="S40" s="55"/>
      <c r="T40" s="55"/>
      <c r="U40" s="46"/>
      <c r="V40" s="101">
        <f t="shared" si="0"/>
        <v>-5.1700000040000305E-3</v>
      </c>
    </row>
    <row r="41" spans="1:22" s="37" customFormat="1" x14ac:dyDescent="0.2">
      <c r="A41" s="39" t="s">
        <v>65</v>
      </c>
      <c r="B41" s="43"/>
      <c r="C41" s="43">
        <v>18168.2389</v>
      </c>
      <c r="D41" s="43">
        <v>64478.93</v>
      </c>
      <c r="E41" s="43"/>
      <c r="F41" s="43"/>
      <c r="G41" s="44">
        <v>13.86</v>
      </c>
      <c r="H41" s="45"/>
      <c r="I41" s="58">
        <f>15683+2177.01</f>
        <v>17860.010000000002</v>
      </c>
      <c r="J41" s="46">
        <v>100507.18</v>
      </c>
      <c r="K41" s="43"/>
      <c r="L41" s="45"/>
      <c r="M41" s="45"/>
      <c r="N41" s="46"/>
      <c r="O41" s="43"/>
      <c r="P41" s="55"/>
      <c r="Q41" s="46"/>
      <c r="R41" s="43"/>
      <c r="S41" s="55"/>
      <c r="T41" s="55"/>
      <c r="U41" s="46"/>
      <c r="V41" s="101">
        <f t="shared" si="0"/>
        <v>-1.0999999940395355E-3</v>
      </c>
    </row>
    <row r="42" spans="1:22" s="37" customFormat="1" x14ac:dyDescent="0.2">
      <c r="A42" s="39" t="s">
        <v>66</v>
      </c>
      <c r="B42" s="43"/>
      <c r="C42" s="43"/>
      <c r="D42" s="43"/>
      <c r="E42" s="43"/>
      <c r="F42" s="43"/>
      <c r="G42" s="44"/>
      <c r="H42" s="45"/>
      <c r="I42" s="58"/>
      <c r="J42" s="46"/>
      <c r="K42" s="43"/>
      <c r="L42" s="45"/>
      <c r="M42" s="45"/>
      <c r="N42" s="46"/>
      <c r="O42" s="43"/>
      <c r="P42" s="55"/>
      <c r="Q42" s="46"/>
      <c r="R42" s="43"/>
      <c r="S42" s="55"/>
      <c r="T42" s="55"/>
      <c r="U42" s="46"/>
      <c r="V42" s="101">
        <f t="shared" si="0"/>
        <v>0</v>
      </c>
    </row>
    <row r="43" spans="1:22" s="37" customFormat="1" x14ac:dyDescent="0.2">
      <c r="A43" s="39" t="s">
        <v>67</v>
      </c>
      <c r="B43" s="43"/>
      <c r="C43" s="43"/>
      <c r="D43" s="43"/>
      <c r="E43" s="43"/>
      <c r="F43" s="43"/>
      <c r="G43" s="44"/>
      <c r="H43" s="45"/>
      <c r="I43" s="58"/>
      <c r="J43" s="46"/>
      <c r="K43" s="43"/>
      <c r="L43" s="45"/>
      <c r="M43" s="45">
        <v>16540</v>
      </c>
      <c r="N43" s="46">
        <v>0</v>
      </c>
      <c r="O43" s="43"/>
      <c r="P43" s="55"/>
      <c r="Q43" s="46">
        <v>16540</v>
      </c>
      <c r="R43" s="43"/>
      <c r="S43" s="55"/>
      <c r="T43" s="55"/>
      <c r="U43" s="46"/>
      <c r="V43" s="101">
        <f t="shared" si="0"/>
        <v>0</v>
      </c>
    </row>
    <row r="44" spans="1:22" s="37" customFormat="1" ht="25.5" x14ac:dyDescent="0.2">
      <c r="A44" s="39" t="s">
        <v>68</v>
      </c>
      <c r="B44" s="43"/>
      <c r="C44" s="43"/>
      <c r="D44" s="43">
        <v>1576.58</v>
      </c>
      <c r="E44" s="43"/>
      <c r="F44" s="43"/>
      <c r="G44" s="44">
        <v>78.94</v>
      </c>
      <c r="H44" s="45"/>
      <c r="I44" s="58">
        <v>25165.53</v>
      </c>
      <c r="J44" s="46"/>
      <c r="K44" s="43"/>
      <c r="L44" s="45"/>
      <c r="M44" s="45">
        <v>9848.58</v>
      </c>
      <c r="N44" s="46">
        <v>37011</v>
      </c>
      <c r="O44" s="43"/>
      <c r="P44" s="55"/>
      <c r="Q44" s="46"/>
      <c r="R44" s="43"/>
      <c r="S44" s="55"/>
      <c r="T44" s="55"/>
      <c r="U44" s="46"/>
      <c r="V44" s="101">
        <f t="shared" si="0"/>
        <v>-420.30999999999767</v>
      </c>
    </row>
    <row r="45" spans="1:22" x14ac:dyDescent="0.2">
      <c r="A45" s="110" t="s">
        <v>5</v>
      </c>
      <c r="B45" s="27"/>
      <c r="C45" s="27"/>
      <c r="D45" s="27"/>
      <c r="E45" s="27"/>
      <c r="F45" s="27">
        <v>37193.040000000001</v>
      </c>
      <c r="G45" s="11"/>
      <c r="H45" s="111"/>
      <c r="I45" s="61"/>
      <c r="J45" s="28"/>
      <c r="K45" s="47"/>
      <c r="L45" s="111"/>
      <c r="M45" s="12"/>
      <c r="N45" s="33"/>
      <c r="O45" s="36"/>
      <c r="P45" s="65"/>
      <c r="Q45" s="33"/>
      <c r="R45" s="43"/>
      <c r="S45" s="55"/>
      <c r="T45" s="55"/>
      <c r="U45" s="46"/>
      <c r="V45" s="101">
        <f t="shared" si="0"/>
        <v>0</v>
      </c>
    </row>
    <row r="46" spans="1:22" x14ac:dyDescent="0.2">
      <c r="A46" s="16" t="s">
        <v>2</v>
      </c>
      <c r="B46" s="23"/>
      <c r="C46" s="23"/>
      <c r="D46" s="23"/>
      <c r="E46" s="23"/>
      <c r="F46" s="23">
        <v>71.91</v>
      </c>
      <c r="G46" s="6"/>
      <c r="H46" s="6">
        <v>0</v>
      </c>
      <c r="I46" s="59"/>
      <c r="J46" s="24"/>
      <c r="K46" s="47"/>
      <c r="L46" s="9">
        <v>0</v>
      </c>
      <c r="M46" s="9"/>
      <c r="N46" s="34"/>
      <c r="O46" s="23">
        <v>0</v>
      </c>
      <c r="P46" s="56"/>
      <c r="Q46" s="24"/>
      <c r="R46" s="23">
        <v>0</v>
      </c>
      <c r="S46" s="56"/>
      <c r="T46" s="56"/>
      <c r="U46" s="24"/>
      <c r="V46" s="101">
        <f t="shared" si="0"/>
        <v>0</v>
      </c>
    </row>
    <row r="47" spans="1:22" x14ac:dyDescent="0.2">
      <c r="A47" s="16" t="s">
        <v>3</v>
      </c>
      <c r="B47" s="23"/>
      <c r="C47" s="23"/>
      <c r="D47" s="23"/>
      <c r="E47" s="23"/>
      <c r="F47" s="23"/>
      <c r="G47" s="6"/>
      <c r="H47" s="104">
        <v>615</v>
      </c>
      <c r="I47" s="59"/>
      <c r="J47" s="24"/>
      <c r="K47" s="47"/>
      <c r="L47" s="105">
        <v>40400</v>
      </c>
      <c r="M47" s="7"/>
      <c r="N47" s="32"/>
      <c r="O47" s="23">
        <v>10000</v>
      </c>
      <c r="P47" s="56"/>
      <c r="Q47" s="24"/>
      <c r="R47" s="23"/>
      <c r="S47" s="56"/>
      <c r="T47" s="56"/>
      <c r="U47" s="24"/>
      <c r="V47" s="101">
        <f t="shared" si="0"/>
        <v>0</v>
      </c>
    </row>
    <row r="48" spans="1:22" x14ac:dyDescent="0.2">
      <c r="A48" s="16" t="s">
        <v>1</v>
      </c>
      <c r="B48" s="23"/>
      <c r="C48" s="23"/>
      <c r="D48" s="23"/>
      <c r="E48" s="23"/>
      <c r="F48" s="23"/>
      <c r="G48" s="6"/>
      <c r="H48" s="6"/>
      <c r="I48" s="59"/>
      <c r="J48" s="24"/>
      <c r="K48" s="35"/>
      <c r="L48" s="7"/>
      <c r="M48" s="7"/>
      <c r="N48" s="32"/>
      <c r="O48" s="23">
        <v>30000</v>
      </c>
      <c r="P48" s="56"/>
      <c r="Q48" s="24"/>
      <c r="R48" s="23">
        <v>65000</v>
      </c>
      <c r="S48" s="56"/>
      <c r="T48" s="56"/>
      <c r="U48" s="24"/>
      <c r="V48" s="101">
        <f t="shared" si="0"/>
        <v>0</v>
      </c>
    </row>
    <row r="49" spans="1:22" x14ac:dyDescent="0.2">
      <c r="A49" s="16" t="s">
        <v>4</v>
      </c>
      <c r="B49" s="23"/>
      <c r="C49" s="23"/>
      <c r="D49" s="23"/>
      <c r="E49" s="23"/>
      <c r="F49" s="23"/>
      <c r="G49" s="6"/>
      <c r="H49" s="104">
        <v>25000</v>
      </c>
      <c r="I49" s="59"/>
      <c r="J49" s="24"/>
      <c r="K49" s="47"/>
      <c r="L49" s="105">
        <v>70000</v>
      </c>
      <c r="M49" s="7"/>
      <c r="N49" s="32"/>
      <c r="O49" s="23"/>
      <c r="P49" s="56"/>
      <c r="Q49" s="24"/>
      <c r="R49" s="23"/>
      <c r="S49" s="56"/>
      <c r="T49" s="56"/>
      <c r="U49" s="24"/>
      <c r="V49" s="101">
        <f t="shared" si="0"/>
        <v>0</v>
      </c>
    </row>
    <row r="50" spans="1:22" s="8" customFormat="1" x14ac:dyDescent="0.2">
      <c r="A50" s="17" t="s">
        <v>27</v>
      </c>
      <c r="B50" s="25">
        <f t="shared" ref="B50:R50" si="2">SUM(B36:B49)</f>
        <v>0</v>
      </c>
      <c r="C50" s="25">
        <f t="shared" si="2"/>
        <v>117740.91272000001</v>
      </c>
      <c r="D50" s="25">
        <f t="shared" si="2"/>
        <v>110050.73</v>
      </c>
      <c r="E50" s="25">
        <f t="shared" si="2"/>
        <v>98139.510000000009</v>
      </c>
      <c r="F50" s="25">
        <f t="shared" si="2"/>
        <v>37264.950000000004</v>
      </c>
      <c r="G50" s="1">
        <f t="shared" si="2"/>
        <v>92.8</v>
      </c>
      <c r="H50" s="1">
        <f t="shared" si="2"/>
        <v>25615</v>
      </c>
      <c r="I50" s="60">
        <f t="shared" si="2"/>
        <v>48855.31</v>
      </c>
      <c r="J50" s="63">
        <f t="shared" si="2"/>
        <v>151194.13999999998</v>
      </c>
      <c r="K50" s="25">
        <f t="shared" si="2"/>
        <v>0</v>
      </c>
      <c r="L50" s="1">
        <f t="shared" si="2"/>
        <v>110400</v>
      </c>
      <c r="M50" s="1">
        <f t="shared" si="2"/>
        <v>26388.58</v>
      </c>
      <c r="N50" s="26">
        <f t="shared" si="2"/>
        <v>37011</v>
      </c>
      <c r="O50" s="25">
        <f t="shared" si="2"/>
        <v>40000</v>
      </c>
      <c r="P50" s="15">
        <f t="shared" si="2"/>
        <v>0</v>
      </c>
      <c r="Q50" s="26">
        <f t="shared" si="2"/>
        <v>16540</v>
      </c>
      <c r="R50" s="25">
        <f t="shared" si="2"/>
        <v>65000</v>
      </c>
      <c r="S50" s="15"/>
      <c r="T50" s="15">
        <f>SUM(T36:T49)</f>
        <v>0</v>
      </c>
      <c r="U50" s="26">
        <f>SUM(U36:U49)</f>
        <v>0</v>
      </c>
      <c r="V50" s="101">
        <f t="shared" si="0"/>
        <v>150.88272000002326</v>
      </c>
    </row>
    <row r="51" spans="1:22" s="37" customFormat="1" ht="25.5" x14ac:dyDescent="0.2">
      <c r="A51" s="40" t="s">
        <v>69</v>
      </c>
      <c r="B51" s="43"/>
      <c r="C51" s="43"/>
      <c r="D51" s="43">
        <v>12148.69</v>
      </c>
      <c r="E51" s="43"/>
      <c r="F51" s="43"/>
      <c r="G51" s="44">
        <v>258.8</v>
      </c>
      <c r="H51" s="45"/>
      <c r="I51" s="58">
        <f>10049+2355.75</f>
        <v>12404.75</v>
      </c>
      <c r="J51" s="46"/>
      <c r="K51" s="43"/>
      <c r="L51" s="45"/>
      <c r="M51" s="45"/>
      <c r="N51" s="46">
        <v>24554</v>
      </c>
      <c r="O51" s="43"/>
      <c r="P51" s="55"/>
      <c r="Q51" s="46"/>
      <c r="R51" s="43"/>
      <c r="S51" s="55"/>
      <c r="T51" s="55"/>
      <c r="U51" s="46"/>
      <c r="V51" s="101">
        <f t="shared" si="0"/>
        <v>-0.55999999999767169</v>
      </c>
    </row>
    <row r="52" spans="1:22" s="37" customFormat="1" x14ac:dyDescent="0.2">
      <c r="A52" s="40" t="s">
        <v>70</v>
      </c>
      <c r="B52" s="43"/>
      <c r="C52" s="43"/>
      <c r="D52" s="43">
        <v>5289.39</v>
      </c>
      <c r="E52" s="43"/>
      <c r="F52" s="43"/>
      <c r="G52" s="44">
        <v>94.01</v>
      </c>
      <c r="H52" s="45"/>
      <c r="I52" s="58">
        <f>6604+1011.92</f>
        <v>7615.92</v>
      </c>
      <c r="J52" s="46"/>
      <c r="K52" s="43"/>
      <c r="L52" s="45"/>
      <c r="M52" s="45"/>
      <c r="N52" s="46">
        <v>12906</v>
      </c>
      <c r="O52" s="43"/>
      <c r="P52" s="55"/>
      <c r="Q52" s="46"/>
      <c r="R52" s="43"/>
      <c r="S52" s="55"/>
      <c r="T52" s="55"/>
      <c r="U52" s="46"/>
      <c r="V52" s="101">
        <f t="shared" si="0"/>
        <v>-0.68999999999869033</v>
      </c>
    </row>
    <row r="53" spans="1:22" s="37" customFormat="1" ht="25.5" x14ac:dyDescent="0.2">
      <c r="A53" s="40" t="s">
        <v>71</v>
      </c>
      <c r="B53" s="43"/>
      <c r="C53" s="43"/>
      <c r="D53" s="43">
        <v>9693.66</v>
      </c>
      <c r="E53" s="43"/>
      <c r="F53" s="43"/>
      <c r="G53" s="44">
        <v>223.25</v>
      </c>
      <c r="H53" s="45"/>
      <c r="I53" s="58">
        <f>9172+2111.11</f>
        <v>11283.11</v>
      </c>
      <c r="J53" s="46"/>
      <c r="K53" s="43"/>
      <c r="L53" s="45"/>
      <c r="M53" s="45"/>
      <c r="N53" s="46">
        <v>20977</v>
      </c>
      <c r="O53" s="43"/>
      <c r="P53" s="55"/>
      <c r="Q53" s="46"/>
      <c r="R53" s="43"/>
      <c r="S53" s="55"/>
      <c r="T53" s="55"/>
      <c r="U53" s="46"/>
      <c r="V53" s="101">
        <f t="shared" si="0"/>
        <v>-0.22999999999956344</v>
      </c>
    </row>
    <row r="54" spans="1:22" s="37" customFormat="1" ht="25.5" x14ac:dyDescent="0.2">
      <c r="A54" s="40" t="s">
        <v>72</v>
      </c>
      <c r="B54" s="43"/>
      <c r="C54" s="43"/>
      <c r="D54" s="43"/>
      <c r="E54" s="43"/>
      <c r="F54" s="43"/>
      <c r="G54" s="44"/>
      <c r="H54" s="45"/>
      <c r="I54" s="58">
        <v>12830.33</v>
      </c>
      <c r="J54" s="46"/>
      <c r="K54" s="43"/>
      <c r="L54" s="45"/>
      <c r="M54" s="45">
        <v>18658</v>
      </c>
      <c r="N54" s="46"/>
      <c r="O54" s="43"/>
      <c r="P54" s="55"/>
      <c r="Q54" s="46">
        <v>31488</v>
      </c>
      <c r="R54" s="43"/>
      <c r="S54" s="55"/>
      <c r="T54" s="55"/>
      <c r="U54" s="46"/>
      <c r="V54" s="101">
        <f t="shared" si="0"/>
        <v>0.33000000000174623</v>
      </c>
    </row>
    <row r="55" spans="1:22" s="37" customFormat="1" x14ac:dyDescent="0.2">
      <c r="A55" s="40" t="s">
        <v>73</v>
      </c>
      <c r="B55" s="43"/>
      <c r="C55" s="43"/>
      <c r="D55" s="43"/>
      <c r="E55" s="43"/>
      <c r="F55" s="43"/>
      <c r="G55" s="44"/>
      <c r="H55" s="45">
        <v>46471.27</v>
      </c>
      <c r="I55" s="58">
        <v>4112</v>
      </c>
      <c r="J55" s="46"/>
      <c r="K55" s="43"/>
      <c r="L55" s="89">
        <v>66735</v>
      </c>
      <c r="M55" s="95">
        <v>23750</v>
      </c>
      <c r="N55" s="46"/>
      <c r="O55" s="98">
        <v>64910</v>
      </c>
      <c r="P55" s="99">
        <v>20347</v>
      </c>
      <c r="Q55" s="46">
        <v>48209</v>
      </c>
      <c r="R55" s="43"/>
      <c r="S55" s="55"/>
      <c r="T55" s="55"/>
      <c r="U55" s="46"/>
      <c r="V55" s="101">
        <f t="shared" si="0"/>
        <v>0</v>
      </c>
    </row>
    <row r="56" spans="1:22" s="37" customFormat="1" ht="25.5" x14ac:dyDescent="0.2">
      <c r="A56" s="40" t="s">
        <v>74</v>
      </c>
      <c r="B56" s="43"/>
      <c r="C56" s="43"/>
      <c r="D56" s="43"/>
      <c r="E56" s="43"/>
      <c r="F56" s="43"/>
      <c r="G56" s="44"/>
      <c r="H56" s="45">
        <v>7525</v>
      </c>
      <c r="I56" s="58">
        <v>2975</v>
      </c>
      <c r="J56" s="46"/>
      <c r="K56" s="43"/>
      <c r="L56" s="45">
        <v>19984</v>
      </c>
      <c r="M56" s="45">
        <v>516</v>
      </c>
      <c r="N56" s="97">
        <v>0</v>
      </c>
      <c r="O56" s="43">
        <v>33995</v>
      </c>
      <c r="P56" s="55">
        <v>525</v>
      </c>
      <c r="Q56" s="97">
        <v>4016</v>
      </c>
      <c r="R56" s="43"/>
      <c r="S56" s="55"/>
      <c r="T56" s="55"/>
      <c r="U56" s="46"/>
      <c r="V56" s="101">
        <f t="shared" si="0"/>
        <v>0</v>
      </c>
    </row>
    <row r="57" spans="1:22" s="37" customFormat="1" ht="15" x14ac:dyDescent="0.25">
      <c r="A57" s="40" t="s">
        <v>75</v>
      </c>
      <c r="B57" s="43"/>
      <c r="C57" s="43"/>
      <c r="D57" s="43"/>
      <c r="E57" s="43"/>
      <c r="F57" s="43"/>
      <c r="G57" s="44"/>
      <c r="H57" s="45"/>
      <c r="I57" s="58">
        <v>7800</v>
      </c>
      <c r="J57" s="46"/>
      <c r="K57" s="43"/>
      <c r="L57" s="45"/>
      <c r="M57" s="103">
        <v>13283</v>
      </c>
      <c r="N57" s="46"/>
      <c r="O57" s="43"/>
      <c r="P57" s="55"/>
      <c r="Q57" s="46">
        <v>21083</v>
      </c>
      <c r="R57" s="43"/>
      <c r="S57" s="55"/>
      <c r="T57" s="55"/>
      <c r="U57" s="46"/>
      <c r="V57" s="101">
        <f t="shared" si="0"/>
        <v>0</v>
      </c>
    </row>
    <row r="58" spans="1:22" s="37" customFormat="1" x14ac:dyDescent="0.2">
      <c r="A58" s="40" t="s">
        <v>76</v>
      </c>
      <c r="B58" s="43"/>
      <c r="C58" s="43"/>
      <c r="D58" s="43"/>
      <c r="E58" s="43"/>
      <c r="F58" s="43"/>
      <c r="G58" s="44"/>
      <c r="H58" s="45"/>
      <c r="I58" s="58"/>
      <c r="J58" s="46"/>
      <c r="K58" s="43"/>
      <c r="L58" s="45"/>
      <c r="M58" s="9">
        <v>1750</v>
      </c>
      <c r="N58" s="46"/>
      <c r="O58" s="43"/>
      <c r="P58" s="55">
        <v>1750</v>
      </c>
      <c r="Q58" s="46">
        <v>3500</v>
      </c>
      <c r="R58" s="43"/>
      <c r="S58" s="55"/>
      <c r="T58" s="55"/>
      <c r="U58" s="46"/>
      <c r="V58" s="101">
        <f t="shared" si="0"/>
        <v>0</v>
      </c>
    </row>
    <row r="59" spans="1:22" x14ac:dyDescent="0.2">
      <c r="A59" s="18" t="s">
        <v>151</v>
      </c>
      <c r="B59" s="23"/>
      <c r="C59" s="23"/>
      <c r="D59" s="23"/>
      <c r="E59" s="23"/>
      <c r="F59" s="23"/>
      <c r="G59" s="6"/>
      <c r="H59" s="6">
        <v>0</v>
      </c>
      <c r="I59" s="59"/>
      <c r="J59" s="24"/>
      <c r="K59" s="47"/>
      <c r="L59" s="6">
        <v>10000</v>
      </c>
      <c r="M59" s="62"/>
      <c r="N59" s="24"/>
      <c r="O59" s="23"/>
      <c r="P59" s="56"/>
      <c r="Q59" s="24"/>
      <c r="R59" s="23"/>
      <c r="S59" s="56"/>
      <c r="T59" s="56"/>
      <c r="U59" s="24"/>
      <c r="V59" s="101">
        <f t="shared" si="0"/>
        <v>0</v>
      </c>
    </row>
    <row r="60" spans="1:22" x14ac:dyDescent="0.2">
      <c r="A60" s="18" t="s">
        <v>24</v>
      </c>
      <c r="B60" s="23"/>
      <c r="C60" s="23"/>
      <c r="D60" s="23"/>
      <c r="E60" s="23"/>
      <c r="F60" s="23"/>
      <c r="G60" s="6"/>
      <c r="H60" s="6">
        <v>15864.43</v>
      </c>
      <c r="I60" s="59"/>
      <c r="J60" s="24"/>
      <c r="K60" s="47"/>
      <c r="L60" s="6">
        <v>82731</v>
      </c>
      <c r="M60" s="58">
        <v>37794</v>
      </c>
      <c r="N60" s="46">
        <v>37794</v>
      </c>
      <c r="O60" s="23">
        <v>19761</v>
      </c>
      <c r="P60" s="56"/>
      <c r="Q60" s="24"/>
      <c r="R60" s="23"/>
      <c r="S60" s="56"/>
      <c r="T60" s="56"/>
      <c r="U60" s="24"/>
      <c r="V60" s="101">
        <f t="shared" si="0"/>
        <v>0</v>
      </c>
    </row>
    <row r="61" spans="1:22" ht="25.5" x14ac:dyDescent="0.2">
      <c r="A61" s="87" t="s">
        <v>23</v>
      </c>
      <c r="B61" s="23"/>
      <c r="C61" s="23"/>
      <c r="D61" s="23"/>
      <c r="E61" s="23"/>
      <c r="F61" s="23">
        <v>38.97</v>
      </c>
      <c r="G61" s="6"/>
      <c r="H61" s="91">
        <v>52961.03</v>
      </c>
      <c r="I61" s="92">
        <v>0</v>
      </c>
      <c r="J61" s="93">
        <v>0</v>
      </c>
      <c r="K61" s="47"/>
      <c r="L61" s="91">
        <v>130000</v>
      </c>
      <c r="M61" s="94">
        <v>65000</v>
      </c>
      <c r="N61" s="93">
        <v>65000</v>
      </c>
      <c r="O61" s="106">
        <v>112039</v>
      </c>
      <c r="P61" s="56"/>
      <c r="Q61" s="24"/>
      <c r="R61" s="23"/>
      <c r="S61" s="56"/>
      <c r="T61" s="56"/>
      <c r="U61" s="24"/>
      <c r="V61" s="101">
        <f>C61+D61+I61+M61+P61+T61-E61-J61-N61-Q61-U61</f>
        <v>0</v>
      </c>
    </row>
    <row r="62" spans="1:22" ht="25.5" x14ac:dyDescent="0.2">
      <c r="A62" s="18" t="s">
        <v>160</v>
      </c>
      <c r="B62" s="23"/>
      <c r="C62" s="23"/>
      <c r="D62" s="23"/>
      <c r="E62" s="23"/>
      <c r="F62" s="23"/>
      <c r="G62" s="6"/>
      <c r="H62" s="6">
        <v>7800</v>
      </c>
      <c r="I62" s="59"/>
      <c r="J62" s="24"/>
      <c r="K62" s="47"/>
      <c r="L62" s="6">
        <v>5700</v>
      </c>
      <c r="M62" s="7"/>
      <c r="N62" s="24"/>
      <c r="O62" s="23"/>
      <c r="P62" s="56"/>
      <c r="Q62" s="24"/>
      <c r="R62" s="23"/>
      <c r="S62" s="56"/>
      <c r="T62" s="56"/>
      <c r="U62" s="24"/>
      <c r="V62" s="101">
        <f t="shared" si="0"/>
        <v>0</v>
      </c>
    </row>
    <row r="63" spans="1:22" s="8" customFormat="1" x14ac:dyDescent="0.2">
      <c r="A63" s="17" t="s">
        <v>30</v>
      </c>
      <c r="B63" s="25">
        <f t="shared" ref="B63:U63" si="3">SUM(B51:B62)</f>
        <v>0</v>
      </c>
      <c r="C63" s="25">
        <f t="shared" si="3"/>
        <v>0</v>
      </c>
      <c r="D63" s="25">
        <f t="shared" si="3"/>
        <v>27131.74</v>
      </c>
      <c r="E63" s="25">
        <f t="shared" si="3"/>
        <v>0</v>
      </c>
      <c r="F63" s="25">
        <f t="shared" si="3"/>
        <v>38.97</v>
      </c>
      <c r="G63" s="25">
        <f t="shared" si="3"/>
        <v>576.05999999999995</v>
      </c>
      <c r="H63" s="25">
        <f t="shared" si="3"/>
        <v>130621.73</v>
      </c>
      <c r="I63" s="25">
        <f t="shared" si="3"/>
        <v>59021.11</v>
      </c>
      <c r="J63" s="25">
        <f t="shared" si="3"/>
        <v>0</v>
      </c>
      <c r="K63" s="25">
        <f t="shared" si="3"/>
        <v>0</v>
      </c>
      <c r="L63" s="25">
        <f t="shared" si="3"/>
        <v>315150</v>
      </c>
      <c r="M63" s="25">
        <f t="shared" si="3"/>
        <v>160751</v>
      </c>
      <c r="N63" s="25">
        <f t="shared" si="3"/>
        <v>161231</v>
      </c>
      <c r="O63" s="25">
        <f t="shared" si="3"/>
        <v>230705</v>
      </c>
      <c r="P63" s="25">
        <f t="shared" si="3"/>
        <v>22622</v>
      </c>
      <c r="Q63" s="25">
        <f t="shared" si="3"/>
        <v>108296</v>
      </c>
      <c r="R63" s="25">
        <f t="shared" si="3"/>
        <v>0</v>
      </c>
      <c r="S63" s="25">
        <f t="shared" si="3"/>
        <v>0</v>
      </c>
      <c r="T63" s="25">
        <f t="shared" si="3"/>
        <v>0</v>
      </c>
      <c r="U63" s="25">
        <f t="shared" si="3"/>
        <v>0</v>
      </c>
      <c r="V63" s="101">
        <f t="shared" si="0"/>
        <v>-1.1500000000232831</v>
      </c>
    </row>
    <row r="64" spans="1:22" s="37" customFormat="1" x14ac:dyDescent="0.2">
      <c r="A64" s="38" t="s">
        <v>102</v>
      </c>
      <c r="B64" s="43"/>
      <c r="C64" s="43"/>
      <c r="D64" s="43"/>
      <c r="E64" s="43"/>
      <c r="F64" s="43"/>
      <c r="G64" s="44"/>
      <c r="H64" s="45"/>
      <c r="I64" s="58"/>
      <c r="J64" s="46"/>
      <c r="K64" s="43"/>
      <c r="L64" s="45"/>
      <c r="M64" s="58">
        <v>0</v>
      </c>
      <c r="N64" s="46"/>
      <c r="O64" s="43"/>
      <c r="P64" s="55">
        <v>17000</v>
      </c>
      <c r="Q64" s="46">
        <v>17000</v>
      </c>
      <c r="R64" s="43"/>
      <c r="S64" s="55"/>
      <c r="T64" s="55"/>
      <c r="U64" s="46"/>
      <c r="V64" s="101">
        <f t="shared" si="0"/>
        <v>0</v>
      </c>
    </row>
    <row r="65" spans="1:22" s="37" customFormat="1" x14ac:dyDescent="0.2">
      <c r="A65" s="38" t="s">
        <v>194</v>
      </c>
      <c r="B65" s="43"/>
      <c r="C65" s="43">
        <v>569</v>
      </c>
      <c r="D65" s="43"/>
      <c r="E65" s="43"/>
      <c r="F65" s="43"/>
      <c r="G65" s="44"/>
      <c r="H65" s="45"/>
      <c r="I65" s="58"/>
      <c r="J65" s="46"/>
      <c r="K65" s="43"/>
      <c r="L65" s="45"/>
      <c r="M65" s="58"/>
      <c r="N65" s="46"/>
      <c r="O65" s="43"/>
      <c r="P65" s="55"/>
      <c r="Q65" s="46"/>
      <c r="R65" s="43"/>
      <c r="S65" s="55"/>
      <c r="T65" s="55"/>
      <c r="U65" s="46"/>
      <c r="V65" s="101">
        <f t="shared" si="0"/>
        <v>569</v>
      </c>
    </row>
    <row r="66" spans="1:22" s="37" customFormat="1" x14ac:dyDescent="0.2">
      <c r="A66" s="38" t="s">
        <v>103</v>
      </c>
      <c r="B66" s="43"/>
      <c r="C66" s="43"/>
      <c r="D66" s="43">
        <v>1730.77</v>
      </c>
      <c r="E66" s="43"/>
      <c r="F66" s="43"/>
      <c r="G66" s="44"/>
      <c r="H66" s="45"/>
      <c r="I66" s="58">
        <v>1000</v>
      </c>
      <c r="J66" s="46"/>
      <c r="K66" s="43"/>
      <c r="L66" s="45"/>
      <c r="M66" s="58">
        <v>3800</v>
      </c>
      <c r="N66" s="46">
        <v>6531</v>
      </c>
      <c r="O66" s="43"/>
      <c r="P66" s="55"/>
      <c r="Q66" s="46"/>
      <c r="R66" s="43"/>
      <c r="S66" s="55"/>
      <c r="T66" s="55"/>
      <c r="U66" s="46"/>
      <c r="V66" s="101">
        <f t="shared" si="0"/>
        <v>-0.22999999999956344</v>
      </c>
    </row>
    <row r="67" spans="1:22" s="37" customFormat="1" x14ac:dyDescent="0.2">
      <c r="A67" s="38" t="s">
        <v>104</v>
      </c>
      <c r="B67" s="43"/>
      <c r="C67" s="43"/>
      <c r="D67" s="43">
        <v>2331.21</v>
      </c>
      <c r="E67" s="43"/>
      <c r="F67" s="43"/>
      <c r="G67" s="44"/>
      <c r="H67" s="45"/>
      <c r="I67" s="58">
        <v>18200</v>
      </c>
      <c r="J67" s="46"/>
      <c r="K67" s="43"/>
      <c r="L67" s="45"/>
      <c r="M67" s="58">
        <v>7000</v>
      </c>
      <c r="N67" s="46"/>
      <c r="O67" s="43"/>
      <c r="P67" s="55"/>
      <c r="Q67" s="46">
        <v>27531</v>
      </c>
      <c r="R67" s="43"/>
      <c r="S67" s="55"/>
      <c r="T67" s="55"/>
      <c r="U67" s="46"/>
      <c r="V67" s="101">
        <f t="shared" si="0"/>
        <v>0.20999999999912689</v>
      </c>
    </row>
    <row r="68" spans="1:22" s="37" customFormat="1" x14ac:dyDescent="0.2">
      <c r="A68" s="38" t="s">
        <v>105</v>
      </c>
      <c r="B68" s="43"/>
      <c r="C68" s="43"/>
      <c r="D68" s="43">
        <v>3264.72</v>
      </c>
      <c r="E68" s="43"/>
      <c r="F68" s="43"/>
      <c r="G68" s="44"/>
      <c r="H68" s="45"/>
      <c r="I68" s="58">
        <f>2169+2175.17</f>
        <v>4344.17</v>
      </c>
      <c r="J68" s="46">
        <v>7608.89</v>
      </c>
      <c r="K68" s="43"/>
      <c r="L68" s="45"/>
      <c r="M68" s="58"/>
      <c r="N68" s="46"/>
      <c r="O68" s="43"/>
      <c r="P68" s="55"/>
      <c r="Q68" s="46"/>
      <c r="R68" s="43"/>
      <c r="S68" s="55"/>
      <c r="T68" s="55"/>
      <c r="U68" s="46"/>
      <c r="V68" s="101">
        <f t="shared" si="0"/>
        <v>-9.0949470177292824E-13</v>
      </c>
    </row>
    <row r="69" spans="1:22" s="37" customFormat="1" ht="25.5" x14ac:dyDescent="0.2">
      <c r="A69" s="38" t="s">
        <v>106</v>
      </c>
      <c r="B69" s="43"/>
      <c r="C69" s="43"/>
      <c r="D69" s="43">
        <v>1152.77</v>
      </c>
      <c r="E69" s="43"/>
      <c r="F69" s="43"/>
      <c r="G69" s="44"/>
      <c r="H69" s="45"/>
      <c r="I69" s="58">
        <v>5639.32</v>
      </c>
      <c r="J69" s="46">
        <v>6792.08</v>
      </c>
      <c r="K69" s="43"/>
      <c r="L69" s="45"/>
      <c r="M69" s="58"/>
      <c r="N69" s="46"/>
      <c r="O69" s="43"/>
      <c r="P69" s="55"/>
      <c r="Q69" s="46"/>
      <c r="R69" s="43"/>
      <c r="S69" s="55"/>
      <c r="T69" s="55"/>
      <c r="U69" s="46"/>
      <c r="V69" s="101">
        <f t="shared" si="0"/>
        <v>1.0000000000218279E-2</v>
      </c>
    </row>
    <row r="70" spans="1:22" s="37" customFormat="1" x14ac:dyDescent="0.2">
      <c r="A70" s="38" t="s">
        <v>107</v>
      </c>
      <c r="B70" s="43"/>
      <c r="C70" s="43"/>
      <c r="D70" s="43"/>
      <c r="E70" s="43"/>
      <c r="F70" s="43"/>
      <c r="G70" s="44"/>
      <c r="H70" s="45">
        <v>0</v>
      </c>
      <c r="I70" s="96">
        <v>0</v>
      </c>
      <c r="J70" s="46"/>
      <c r="K70" s="43"/>
      <c r="L70" s="45"/>
      <c r="M70" s="96">
        <v>2500</v>
      </c>
      <c r="N70" s="46"/>
      <c r="O70" s="43"/>
      <c r="P70" s="99">
        <v>15930</v>
      </c>
      <c r="Q70" s="46">
        <v>18430</v>
      </c>
      <c r="R70" s="43"/>
      <c r="S70" s="55"/>
      <c r="T70" s="55"/>
      <c r="U70" s="46"/>
      <c r="V70" s="101">
        <f t="shared" si="0"/>
        <v>0</v>
      </c>
    </row>
    <row r="71" spans="1:22" s="37" customFormat="1" x14ac:dyDescent="0.2">
      <c r="A71" s="38" t="s">
        <v>108</v>
      </c>
      <c r="B71" s="43"/>
      <c r="C71" s="43"/>
      <c r="D71" s="43"/>
      <c r="E71" s="43"/>
      <c r="F71" s="43"/>
      <c r="G71" s="44"/>
      <c r="H71" s="45">
        <v>0</v>
      </c>
      <c r="I71" s="58">
        <v>0</v>
      </c>
      <c r="J71" s="46"/>
      <c r="K71" s="43"/>
      <c r="L71" s="45"/>
      <c r="M71" s="58">
        <v>0</v>
      </c>
      <c r="N71" s="46"/>
      <c r="O71" s="43"/>
      <c r="P71" s="55">
        <v>4200</v>
      </c>
      <c r="Q71" s="46">
        <v>0</v>
      </c>
      <c r="R71" s="43"/>
      <c r="S71" s="55"/>
      <c r="T71" s="55">
        <v>12400</v>
      </c>
      <c r="U71" s="46">
        <v>16600</v>
      </c>
      <c r="V71" s="101">
        <f t="shared" ref="V71:V134" si="4">C71+D71+I71+M71+P71+T71-E71-J71-N71-Q71-U71</f>
        <v>0</v>
      </c>
    </row>
    <row r="72" spans="1:22" s="37" customFormat="1" ht="25.5" x14ac:dyDescent="0.2">
      <c r="A72" s="39" t="s">
        <v>77</v>
      </c>
      <c r="B72" s="43"/>
      <c r="C72" s="43">
        <v>15545.257169999999</v>
      </c>
      <c r="D72" s="43"/>
      <c r="E72" s="43">
        <v>15545.26</v>
      </c>
      <c r="F72" s="43"/>
      <c r="G72" s="44"/>
      <c r="H72" s="45"/>
      <c r="I72" s="58"/>
      <c r="J72" s="46"/>
      <c r="K72" s="43"/>
      <c r="L72" s="45"/>
      <c r="M72" s="58"/>
      <c r="N72" s="46"/>
      <c r="O72" s="43"/>
      <c r="P72" s="55"/>
      <c r="Q72" s="46"/>
      <c r="R72" s="43"/>
      <c r="S72" s="55"/>
      <c r="T72" s="55"/>
      <c r="U72" s="46"/>
      <c r="V72" s="101">
        <f t="shared" si="4"/>
        <v>-2.8300000012677629E-3</v>
      </c>
    </row>
    <row r="73" spans="1:22" s="37" customFormat="1" ht="25.5" x14ac:dyDescent="0.2">
      <c r="A73" s="39" t="s">
        <v>79</v>
      </c>
      <c r="B73" s="43"/>
      <c r="C73" s="43">
        <v>10290.78996</v>
      </c>
      <c r="D73" s="43">
        <v>1156.56</v>
      </c>
      <c r="E73" s="43">
        <v>11447.35</v>
      </c>
      <c r="F73" s="43"/>
      <c r="G73" s="44"/>
      <c r="H73" s="45"/>
      <c r="I73" s="58"/>
      <c r="J73" s="46"/>
      <c r="K73" s="43"/>
      <c r="L73" s="45"/>
      <c r="M73" s="58"/>
      <c r="N73" s="46"/>
      <c r="O73" s="43"/>
      <c r="P73" s="55"/>
      <c r="Q73" s="46"/>
      <c r="R73" s="43"/>
      <c r="S73" s="55"/>
      <c r="T73" s="55"/>
      <c r="U73" s="46"/>
      <c r="V73" s="101">
        <f t="shared" si="4"/>
        <v>-4.000000080850441E-5</v>
      </c>
    </row>
    <row r="74" spans="1:22" s="37" customFormat="1" x14ac:dyDescent="0.2">
      <c r="A74" s="39" t="s">
        <v>78</v>
      </c>
      <c r="B74" s="43"/>
      <c r="C74" s="43"/>
      <c r="D74" s="43"/>
      <c r="E74" s="43"/>
      <c r="F74" s="43"/>
      <c r="G74" s="44">
        <v>359.74</v>
      </c>
      <c r="H74" s="45"/>
      <c r="I74" s="58"/>
      <c r="J74" s="46"/>
      <c r="K74" s="43"/>
      <c r="L74" s="45"/>
      <c r="M74" s="58"/>
      <c r="N74" s="46"/>
      <c r="O74" s="43"/>
      <c r="P74" s="55"/>
      <c r="Q74" s="46"/>
      <c r="R74" s="43"/>
      <c r="S74" s="55"/>
      <c r="T74" s="55"/>
      <c r="U74" s="46"/>
      <c r="V74" s="101">
        <f t="shared" si="4"/>
        <v>0</v>
      </c>
    </row>
    <row r="75" spans="1:22" s="37" customFormat="1" x14ac:dyDescent="0.2">
      <c r="A75" s="39" t="s">
        <v>80</v>
      </c>
      <c r="B75" s="43"/>
      <c r="C75" s="43"/>
      <c r="D75" s="43">
        <v>2148.46</v>
      </c>
      <c r="E75" s="43"/>
      <c r="F75" s="43"/>
      <c r="G75" s="44"/>
      <c r="H75" s="45"/>
      <c r="I75" s="58">
        <f>5292+3701.2</f>
        <v>8993.2000000000007</v>
      </c>
      <c r="J75" s="46"/>
      <c r="K75" s="43"/>
      <c r="L75" s="45"/>
      <c r="M75" s="58"/>
      <c r="N75" s="46">
        <v>11142</v>
      </c>
      <c r="O75" s="43"/>
      <c r="P75" s="55"/>
      <c r="Q75" s="46"/>
      <c r="R75" s="43"/>
      <c r="S75" s="55"/>
      <c r="T75" s="55"/>
      <c r="U75" s="46"/>
      <c r="V75" s="101">
        <f t="shared" si="4"/>
        <v>-0.34000000000014552</v>
      </c>
    </row>
    <row r="76" spans="1:22" s="37" customFormat="1" ht="25.5" x14ac:dyDescent="0.2">
      <c r="A76" s="39" t="s">
        <v>81</v>
      </c>
      <c r="B76" s="43"/>
      <c r="C76" s="43"/>
      <c r="D76" s="43"/>
      <c r="E76" s="43"/>
      <c r="F76" s="43"/>
      <c r="G76" s="44"/>
      <c r="H76" s="45"/>
      <c r="I76" s="58"/>
      <c r="J76" s="46"/>
      <c r="K76" s="43"/>
      <c r="L76" s="45"/>
      <c r="M76" s="58">
        <v>3473</v>
      </c>
      <c r="N76" s="46"/>
      <c r="O76" s="43"/>
      <c r="P76" s="55"/>
      <c r="Q76" s="46">
        <v>3473</v>
      </c>
      <c r="R76" s="43"/>
      <c r="S76" s="55"/>
      <c r="T76" s="55"/>
      <c r="U76" s="46"/>
      <c r="V76" s="101">
        <f t="shared" si="4"/>
        <v>0</v>
      </c>
    </row>
    <row r="77" spans="1:22" s="37" customFormat="1" x14ac:dyDescent="0.2">
      <c r="A77" s="39" t="s">
        <v>82</v>
      </c>
      <c r="B77" s="43"/>
      <c r="C77" s="43"/>
      <c r="D77" s="43"/>
      <c r="E77" s="43"/>
      <c r="F77" s="43"/>
      <c r="G77" s="44"/>
      <c r="H77" s="45"/>
      <c r="I77" s="58"/>
      <c r="J77" s="46"/>
      <c r="K77" s="43"/>
      <c r="L77" s="45"/>
      <c r="M77" s="58">
        <v>4096</v>
      </c>
      <c r="N77" s="46"/>
      <c r="O77" s="43"/>
      <c r="P77" s="55"/>
      <c r="Q77" s="46">
        <v>4096</v>
      </c>
      <c r="R77" s="43"/>
      <c r="S77" s="55"/>
      <c r="T77" s="55"/>
      <c r="U77" s="46"/>
      <c r="V77" s="101">
        <f t="shared" si="4"/>
        <v>0</v>
      </c>
    </row>
    <row r="78" spans="1:22" s="37" customFormat="1" x14ac:dyDescent="0.2">
      <c r="A78" s="39" t="s">
        <v>83</v>
      </c>
      <c r="B78" s="43"/>
      <c r="C78" s="43"/>
      <c r="D78" s="43"/>
      <c r="E78" s="43"/>
      <c r="F78" s="43"/>
      <c r="G78" s="44"/>
      <c r="H78" s="45"/>
      <c r="I78" s="58"/>
      <c r="J78" s="46"/>
      <c r="K78" s="43"/>
      <c r="L78" s="45"/>
      <c r="M78" s="58">
        <v>3819</v>
      </c>
      <c r="N78" s="46"/>
      <c r="O78" s="43"/>
      <c r="P78" s="55"/>
      <c r="Q78" s="46">
        <v>3819</v>
      </c>
      <c r="R78" s="43"/>
      <c r="S78" s="55"/>
      <c r="T78" s="55"/>
      <c r="U78" s="46"/>
      <c r="V78" s="101">
        <f t="shared" si="4"/>
        <v>0</v>
      </c>
    </row>
    <row r="79" spans="1:22" s="37" customFormat="1" x14ac:dyDescent="0.2">
      <c r="A79" s="39" t="s">
        <v>84</v>
      </c>
      <c r="B79" s="43"/>
      <c r="C79" s="43"/>
      <c r="D79" s="43"/>
      <c r="E79" s="43"/>
      <c r="F79" s="43"/>
      <c r="G79" s="44"/>
      <c r="H79" s="45"/>
      <c r="I79" s="58"/>
      <c r="J79" s="46"/>
      <c r="K79" s="43"/>
      <c r="L79" s="45"/>
      <c r="M79" s="58">
        <v>7264</v>
      </c>
      <c r="N79" s="46"/>
      <c r="O79" s="43"/>
      <c r="P79" s="55"/>
      <c r="Q79" s="46">
        <v>7264</v>
      </c>
      <c r="R79" s="43"/>
      <c r="S79" s="55"/>
      <c r="T79" s="55"/>
      <c r="U79" s="46"/>
      <c r="V79" s="101">
        <f t="shared" si="4"/>
        <v>0</v>
      </c>
    </row>
    <row r="80" spans="1:22" s="37" customFormat="1" x14ac:dyDescent="0.2">
      <c r="A80" s="39" t="s">
        <v>85</v>
      </c>
      <c r="B80" s="43"/>
      <c r="C80" s="43"/>
      <c r="D80" s="43"/>
      <c r="E80" s="43"/>
      <c r="F80" s="43"/>
      <c r="G80" s="44"/>
      <c r="H80" s="45"/>
      <c r="I80" s="58"/>
      <c r="J80" s="46"/>
      <c r="K80" s="43"/>
      <c r="L80" s="45"/>
      <c r="M80" s="58">
        <v>12270</v>
      </c>
      <c r="N80" s="46"/>
      <c r="O80" s="43"/>
      <c r="P80" s="55"/>
      <c r="Q80" s="46">
        <v>12270</v>
      </c>
      <c r="R80" s="43"/>
      <c r="S80" s="55"/>
      <c r="T80" s="55"/>
      <c r="U80" s="46"/>
      <c r="V80" s="101">
        <f t="shared" si="4"/>
        <v>0</v>
      </c>
    </row>
    <row r="81" spans="1:22" s="37" customFormat="1" x14ac:dyDescent="0.2">
      <c r="A81" s="39" t="s">
        <v>86</v>
      </c>
      <c r="B81" s="43"/>
      <c r="C81" s="43"/>
      <c r="D81" s="43"/>
      <c r="E81" s="43"/>
      <c r="F81" s="43"/>
      <c r="G81" s="44"/>
      <c r="H81" s="45"/>
      <c r="I81" s="58"/>
      <c r="J81" s="46"/>
      <c r="K81" s="43"/>
      <c r="L81" s="45"/>
      <c r="M81" s="58">
        <v>1561</v>
      </c>
      <c r="N81" s="46"/>
      <c r="O81" s="43"/>
      <c r="P81" s="55"/>
      <c r="Q81" s="46">
        <v>1561</v>
      </c>
      <c r="R81" s="43"/>
      <c r="S81" s="55"/>
      <c r="T81" s="55"/>
      <c r="U81" s="46"/>
      <c r="V81" s="101">
        <f t="shared" si="4"/>
        <v>0</v>
      </c>
    </row>
    <row r="82" spans="1:22" s="37" customFormat="1" x14ac:dyDescent="0.2">
      <c r="A82" s="39" t="s">
        <v>87</v>
      </c>
      <c r="B82" s="43"/>
      <c r="C82" s="43"/>
      <c r="D82" s="43"/>
      <c r="E82" s="43"/>
      <c r="F82" s="43"/>
      <c r="G82" s="44"/>
      <c r="H82" s="45"/>
      <c r="I82" s="58"/>
      <c r="J82" s="46"/>
      <c r="K82" s="43"/>
      <c r="L82" s="45"/>
      <c r="M82" s="58">
        <v>7683</v>
      </c>
      <c r="N82" s="46"/>
      <c r="O82" s="43"/>
      <c r="P82" s="55"/>
      <c r="Q82" s="46">
        <v>7683</v>
      </c>
      <c r="R82" s="43"/>
      <c r="S82" s="55"/>
      <c r="T82" s="55"/>
      <c r="U82" s="46"/>
      <c r="V82" s="101">
        <f t="shared" si="4"/>
        <v>0</v>
      </c>
    </row>
    <row r="83" spans="1:22" s="37" customFormat="1" x14ac:dyDescent="0.2">
      <c r="A83" s="39" t="s">
        <v>88</v>
      </c>
      <c r="B83" s="43"/>
      <c r="C83" s="43"/>
      <c r="D83" s="43"/>
      <c r="E83" s="43"/>
      <c r="F83" s="43"/>
      <c r="G83" s="44"/>
      <c r="H83" s="45"/>
      <c r="I83" s="58"/>
      <c r="J83" s="46"/>
      <c r="K83" s="43"/>
      <c r="L83" s="45"/>
      <c r="M83" s="58">
        <v>10928</v>
      </c>
      <c r="N83" s="46"/>
      <c r="O83" s="43"/>
      <c r="P83" s="55"/>
      <c r="Q83" s="46">
        <v>10928</v>
      </c>
      <c r="R83" s="43"/>
      <c r="S83" s="55"/>
      <c r="T83" s="55"/>
      <c r="U83" s="46"/>
      <c r="V83" s="101">
        <f t="shared" si="4"/>
        <v>0</v>
      </c>
    </row>
    <row r="84" spans="1:22" s="37" customFormat="1" x14ac:dyDescent="0.2">
      <c r="A84" s="39" t="s">
        <v>89</v>
      </c>
      <c r="B84" s="43"/>
      <c r="C84" s="43"/>
      <c r="D84" s="43"/>
      <c r="E84" s="43"/>
      <c r="F84" s="43"/>
      <c r="G84" s="44"/>
      <c r="H84" s="45"/>
      <c r="I84" s="58"/>
      <c r="J84" s="46"/>
      <c r="K84" s="43"/>
      <c r="L84" s="45"/>
      <c r="M84" s="58">
        <v>3356</v>
      </c>
      <c r="N84" s="46"/>
      <c r="O84" s="43"/>
      <c r="P84" s="55"/>
      <c r="Q84" s="46">
        <v>3356</v>
      </c>
      <c r="R84" s="43"/>
      <c r="S84" s="55"/>
      <c r="T84" s="55"/>
      <c r="U84" s="46"/>
      <c r="V84" s="101">
        <f t="shared" si="4"/>
        <v>0</v>
      </c>
    </row>
    <row r="85" spans="1:22" s="37" customFormat="1" x14ac:dyDescent="0.2">
      <c r="A85" s="39" t="s">
        <v>90</v>
      </c>
      <c r="B85" s="43"/>
      <c r="C85" s="43"/>
      <c r="D85" s="43"/>
      <c r="E85" s="43"/>
      <c r="F85" s="43"/>
      <c r="G85" s="44"/>
      <c r="H85" s="45"/>
      <c r="I85" s="58"/>
      <c r="J85" s="46"/>
      <c r="K85" s="43"/>
      <c r="L85" s="45"/>
      <c r="M85" s="58">
        <v>2380</v>
      </c>
      <c r="N85" s="46"/>
      <c r="O85" s="43"/>
      <c r="P85" s="55"/>
      <c r="Q85" s="46">
        <v>2380</v>
      </c>
      <c r="R85" s="43"/>
      <c r="S85" s="55"/>
      <c r="T85" s="55"/>
      <c r="U85" s="46"/>
      <c r="V85" s="101">
        <f t="shared" si="4"/>
        <v>0</v>
      </c>
    </row>
    <row r="86" spans="1:22" s="37" customFormat="1" x14ac:dyDescent="0.2">
      <c r="A86" s="39" t="s">
        <v>155</v>
      </c>
      <c r="B86" s="43"/>
      <c r="C86" s="43"/>
      <c r="D86" s="43"/>
      <c r="E86" s="43"/>
      <c r="F86" s="43"/>
      <c r="G86" s="44"/>
      <c r="H86" s="45"/>
      <c r="I86" s="58"/>
      <c r="J86" s="46"/>
      <c r="K86" s="43"/>
      <c r="L86" s="43"/>
      <c r="M86" s="96">
        <v>8191</v>
      </c>
      <c r="N86" s="97"/>
      <c r="O86" s="43"/>
      <c r="P86" s="55"/>
      <c r="Q86" s="46">
        <v>8191</v>
      </c>
      <c r="R86" s="43"/>
      <c r="S86" s="55"/>
      <c r="T86" s="55"/>
      <c r="U86" s="46"/>
      <c r="V86" s="101">
        <f t="shared" si="4"/>
        <v>0</v>
      </c>
    </row>
    <row r="87" spans="1:22" s="37" customFormat="1" x14ac:dyDescent="0.2">
      <c r="A87" s="39" t="s">
        <v>156</v>
      </c>
      <c r="B87" s="43"/>
      <c r="C87" s="43"/>
      <c r="D87" s="43"/>
      <c r="E87" s="43"/>
      <c r="F87" s="43"/>
      <c r="G87" s="44"/>
      <c r="H87" s="45"/>
      <c r="I87" s="58"/>
      <c r="J87" s="46"/>
      <c r="K87" s="43"/>
      <c r="L87" s="43"/>
      <c r="M87" s="96">
        <v>0</v>
      </c>
      <c r="N87" s="97"/>
      <c r="O87" s="43"/>
      <c r="P87" s="99">
        <v>3800</v>
      </c>
      <c r="Q87" s="97">
        <v>3800</v>
      </c>
      <c r="R87" s="43"/>
      <c r="S87" s="55"/>
      <c r="T87" s="55"/>
      <c r="U87" s="46"/>
      <c r="V87" s="101">
        <f t="shared" si="4"/>
        <v>0</v>
      </c>
    </row>
    <row r="88" spans="1:22" s="37" customFormat="1" ht="25.5" x14ac:dyDescent="0.2">
      <c r="A88" s="39" t="s">
        <v>157</v>
      </c>
      <c r="B88" s="43"/>
      <c r="C88" s="43"/>
      <c r="D88" s="43"/>
      <c r="E88" s="43"/>
      <c r="F88" s="43"/>
      <c r="G88" s="44"/>
      <c r="H88" s="45"/>
      <c r="I88" s="58"/>
      <c r="J88" s="46"/>
      <c r="K88" s="43"/>
      <c r="L88" s="43"/>
      <c r="M88" s="96">
        <v>9804</v>
      </c>
      <c r="N88" s="97"/>
      <c r="O88" s="43"/>
      <c r="P88" s="55"/>
      <c r="Q88" s="46">
        <v>9804</v>
      </c>
      <c r="R88" s="43"/>
      <c r="S88" s="55"/>
      <c r="T88" s="55"/>
      <c r="U88" s="46"/>
      <c r="V88" s="101">
        <f t="shared" si="4"/>
        <v>0</v>
      </c>
    </row>
    <row r="89" spans="1:22" s="37" customFormat="1" x14ac:dyDescent="0.2">
      <c r="A89" s="39" t="s">
        <v>158</v>
      </c>
      <c r="B89" s="43"/>
      <c r="C89" s="43"/>
      <c r="D89" s="43"/>
      <c r="E89" s="43"/>
      <c r="F89" s="43"/>
      <c r="G89" s="44"/>
      <c r="H89" s="45"/>
      <c r="I89" s="58"/>
      <c r="J89" s="46"/>
      <c r="K89" s="43"/>
      <c r="L89" s="43"/>
      <c r="M89" s="96">
        <v>11853</v>
      </c>
      <c r="N89" s="97"/>
      <c r="O89" s="43"/>
      <c r="P89" s="55"/>
      <c r="Q89" s="46">
        <v>11853</v>
      </c>
      <c r="R89" s="43"/>
      <c r="S89" s="55"/>
      <c r="T89" s="55"/>
      <c r="U89" s="46"/>
      <c r="V89" s="101">
        <f t="shared" si="4"/>
        <v>0</v>
      </c>
    </row>
    <row r="90" spans="1:22" s="37" customFormat="1" ht="25.5" x14ac:dyDescent="0.2">
      <c r="A90" s="39" t="s">
        <v>159</v>
      </c>
      <c r="B90" s="43"/>
      <c r="C90" s="43"/>
      <c r="D90" s="43"/>
      <c r="E90" s="43"/>
      <c r="F90" s="43"/>
      <c r="G90" s="44"/>
      <c r="H90" s="45"/>
      <c r="I90" s="58"/>
      <c r="J90" s="46"/>
      <c r="K90" s="43"/>
      <c r="L90" s="43"/>
      <c r="M90" s="96">
        <v>15042</v>
      </c>
      <c r="N90" s="97"/>
      <c r="O90" s="43"/>
      <c r="P90" s="55"/>
      <c r="Q90" s="46">
        <v>15042</v>
      </c>
      <c r="R90" s="43"/>
      <c r="S90" s="55"/>
      <c r="T90" s="55"/>
      <c r="U90" s="46"/>
      <c r="V90" s="101">
        <f t="shared" si="4"/>
        <v>0</v>
      </c>
    </row>
    <row r="91" spans="1:22" ht="25.5" x14ac:dyDescent="0.2">
      <c r="A91" s="16" t="s">
        <v>179</v>
      </c>
      <c r="B91" s="23"/>
      <c r="C91" s="23"/>
      <c r="D91" s="23"/>
      <c r="E91" s="23"/>
      <c r="F91" s="23">
        <v>162175.28</v>
      </c>
      <c r="G91" s="6"/>
      <c r="H91" s="6">
        <v>45000</v>
      </c>
      <c r="I91" s="59"/>
      <c r="J91" s="24"/>
      <c r="K91" s="23"/>
      <c r="L91" s="6">
        <v>0</v>
      </c>
      <c r="M91" s="59"/>
      <c r="N91" s="24"/>
      <c r="O91" s="23">
        <v>0</v>
      </c>
      <c r="P91" s="56"/>
      <c r="Q91" s="24"/>
      <c r="R91" s="23">
        <v>0</v>
      </c>
      <c r="S91" s="56"/>
      <c r="T91" s="56"/>
      <c r="U91" s="24"/>
      <c r="V91" s="101">
        <f t="shared" si="4"/>
        <v>0</v>
      </c>
    </row>
    <row r="92" spans="1:22" ht="25.5" x14ac:dyDescent="0.2">
      <c r="A92" s="16" t="s">
        <v>180</v>
      </c>
      <c r="B92" s="23"/>
      <c r="C92" s="23"/>
      <c r="D92" s="23"/>
      <c r="E92" s="23"/>
      <c r="F92" s="23"/>
      <c r="G92" s="6"/>
      <c r="H92" s="104">
        <v>0</v>
      </c>
      <c r="I92" s="59"/>
      <c r="J92" s="24"/>
      <c r="K92" s="47"/>
      <c r="L92" s="104">
        <v>5500</v>
      </c>
      <c r="M92" s="59"/>
      <c r="N92" s="24"/>
      <c r="O92" s="106">
        <v>25000</v>
      </c>
      <c r="P92" s="56"/>
      <c r="Q92" s="24"/>
      <c r="R92" s="23">
        <v>0</v>
      </c>
      <c r="S92" s="56"/>
      <c r="T92" s="56"/>
      <c r="U92" s="24"/>
      <c r="V92" s="101">
        <f t="shared" si="4"/>
        <v>0</v>
      </c>
    </row>
    <row r="93" spans="1:22" ht="25.5" x14ac:dyDescent="0.2">
      <c r="A93" s="16" t="s">
        <v>181</v>
      </c>
      <c r="B93" s="23"/>
      <c r="C93" s="23"/>
      <c r="D93" s="23"/>
      <c r="E93" s="23"/>
      <c r="F93" s="23"/>
      <c r="G93" s="6"/>
      <c r="H93" s="6">
        <v>2090</v>
      </c>
      <c r="I93" s="59"/>
      <c r="J93" s="24"/>
      <c r="K93" s="47"/>
      <c r="L93" s="6">
        <v>53610</v>
      </c>
      <c r="M93" s="59"/>
      <c r="N93" s="24"/>
      <c r="O93" s="23">
        <v>0</v>
      </c>
      <c r="P93" s="56"/>
      <c r="Q93" s="24"/>
      <c r="R93" s="23">
        <v>0</v>
      </c>
      <c r="S93" s="56"/>
      <c r="T93" s="56"/>
      <c r="U93" s="24"/>
      <c r="V93" s="101">
        <f t="shared" si="4"/>
        <v>0</v>
      </c>
    </row>
    <row r="94" spans="1:22" ht="38.25" x14ac:dyDescent="0.2">
      <c r="A94" s="16" t="s">
        <v>182</v>
      </c>
      <c r="B94" s="23"/>
      <c r="C94" s="23"/>
      <c r="D94" s="23"/>
      <c r="E94" s="23"/>
      <c r="F94" s="23"/>
      <c r="G94" s="6"/>
      <c r="H94" s="6">
        <v>31098</v>
      </c>
      <c r="I94" s="59"/>
      <c r="J94" s="24"/>
      <c r="K94" s="23"/>
      <c r="L94" s="6">
        <v>19500</v>
      </c>
      <c r="M94" s="59"/>
      <c r="N94" s="24"/>
      <c r="O94" s="23">
        <v>0</v>
      </c>
      <c r="P94" s="56"/>
      <c r="Q94" s="24"/>
      <c r="R94" s="23">
        <v>0</v>
      </c>
      <c r="S94" s="56"/>
      <c r="T94" s="56"/>
      <c r="U94" s="24"/>
      <c r="V94" s="101">
        <f t="shared" si="4"/>
        <v>0</v>
      </c>
    </row>
    <row r="95" spans="1:22" ht="38.25" x14ac:dyDescent="0.2">
      <c r="A95" s="16" t="s">
        <v>183</v>
      </c>
      <c r="B95" s="23"/>
      <c r="C95" s="23"/>
      <c r="D95" s="23"/>
      <c r="E95" s="23"/>
      <c r="F95" s="23"/>
      <c r="G95" s="6"/>
      <c r="H95" s="6">
        <v>5500</v>
      </c>
      <c r="I95" s="59"/>
      <c r="J95" s="24"/>
      <c r="K95" s="23"/>
      <c r="L95" s="6">
        <v>0</v>
      </c>
      <c r="M95" s="59"/>
      <c r="N95" s="24"/>
      <c r="O95" s="23">
        <v>0</v>
      </c>
      <c r="P95" s="56"/>
      <c r="Q95" s="24"/>
      <c r="R95" s="23">
        <v>0</v>
      </c>
      <c r="S95" s="56"/>
      <c r="T95" s="56"/>
      <c r="U95" s="24"/>
      <c r="V95" s="101">
        <f t="shared" si="4"/>
        <v>0</v>
      </c>
    </row>
    <row r="96" spans="1:22" ht="38.25" x14ac:dyDescent="0.2">
      <c r="A96" s="16" t="s">
        <v>184</v>
      </c>
      <c r="B96" s="23"/>
      <c r="C96" s="23"/>
      <c r="D96" s="23"/>
      <c r="E96" s="23"/>
      <c r="F96" s="23"/>
      <c r="G96" s="6"/>
      <c r="H96" s="104">
        <v>20571</v>
      </c>
      <c r="I96" s="59"/>
      <c r="J96" s="24"/>
      <c r="K96" s="23"/>
      <c r="L96" s="104">
        <v>113428</v>
      </c>
      <c r="M96" s="59"/>
      <c r="N96" s="24"/>
      <c r="O96" s="23">
        <v>42000</v>
      </c>
      <c r="P96" s="56"/>
      <c r="Q96" s="24"/>
      <c r="R96" s="23">
        <v>0</v>
      </c>
      <c r="S96" s="56"/>
      <c r="T96" s="56"/>
      <c r="U96" s="24"/>
      <c r="V96" s="101">
        <f t="shared" si="4"/>
        <v>0</v>
      </c>
    </row>
    <row r="97" spans="1:22" ht="25.5" x14ac:dyDescent="0.2">
      <c r="A97" s="16" t="s">
        <v>185</v>
      </c>
      <c r="B97" s="23"/>
      <c r="C97" s="23"/>
      <c r="D97" s="23"/>
      <c r="E97" s="23"/>
      <c r="F97" s="23"/>
      <c r="G97" s="6"/>
      <c r="H97" s="104">
        <v>51000</v>
      </c>
      <c r="I97" s="59"/>
      <c r="J97" s="24"/>
      <c r="K97" s="47"/>
      <c r="L97" s="104">
        <v>0</v>
      </c>
      <c r="M97" s="59"/>
      <c r="N97" s="24"/>
      <c r="O97" s="23">
        <v>0</v>
      </c>
      <c r="P97" s="56"/>
      <c r="Q97" s="24"/>
      <c r="R97" s="23">
        <v>0</v>
      </c>
      <c r="S97" s="56"/>
      <c r="T97" s="56"/>
      <c r="U97" s="24"/>
      <c r="V97" s="101">
        <f t="shared" si="4"/>
        <v>0</v>
      </c>
    </row>
    <row r="98" spans="1:22" ht="25.5" x14ac:dyDescent="0.2">
      <c r="A98" s="19" t="s">
        <v>186</v>
      </c>
      <c r="B98" s="23"/>
      <c r="C98" s="23"/>
      <c r="D98" s="23"/>
      <c r="E98" s="23"/>
      <c r="F98" s="23"/>
      <c r="G98" s="6"/>
      <c r="H98" s="104">
        <v>25000</v>
      </c>
      <c r="I98" s="59"/>
      <c r="J98" s="24"/>
      <c r="K98" s="47"/>
      <c r="L98" s="104">
        <v>0</v>
      </c>
      <c r="M98" s="59"/>
      <c r="N98" s="24"/>
      <c r="O98" s="23">
        <v>0</v>
      </c>
      <c r="P98" s="56"/>
      <c r="Q98" s="24"/>
      <c r="R98" s="23">
        <v>0</v>
      </c>
      <c r="S98" s="56"/>
      <c r="T98" s="56"/>
      <c r="U98" s="24"/>
      <c r="V98" s="101">
        <f t="shared" si="4"/>
        <v>0</v>
      </c>
    </row>
    <row r="99" spans="1:22" ht="51" x14ac:dyDescent="0.2">
      <c r="A99" s="16" t="s">
        <v>187</v>
      </c>
      <c r="B99" s="23"/>
      <c r="C99" s="23"/>
      <c r="D99" s="23"/>
      <c r="E99" s="23"/>
      <c r="F99" s="23"/>
      <c r="G99" s="6"/>
      <c r="H99" s="104">
        <v>10000</v>
      </c>
      <c r="I99" s="59"/>
      <c r="J99" s="24"/>
      <c r="K99" s="47"/>
      <c r="L99" s="104">
        <v>28000</v>
      </c>
      <c r="M99" s="59"/>
      <c r="N99" s="24"/>
      <c r="O99" s="106">
        <v>0</v>
      </c>
      <c r="P99" s="56"/>
      <c r="Q99" s="24"/>
      <c r="R99" s="23">
        <v>0</v>
      </c>
      <c r="S99" s="56"/>
      <c r="T99" s="56"/>
      <c r="U99" s="24"/>
      <c r="V99" s="101">
        <f t="shared" si="4"/>
        <v>0</v>
      </c>
    </row>
    <row r="100" spans="1:22" ht="25.5" x14ac:dyDescent="0.2">
      <c r="A100" s="16" t="s">
        <v>188</v>
      </c>
      <c r="B100" s="23"/>
      <c r="C100" s="23"/>
      <c r="D100" s="23"/>
      <c r="E100" s="23"/>
      <c r="F100" s="23"/>
      <c r="G100" s="6"/>
      <c r="H100" s="6">
        <v>27200</v>
      </c>
      <c r="I100" s="59"/>
      <c r="J100" s="24"/>
      <c r="K100" s="23"/>
      <c r="L100" s="6">
        <v>500</v>
      </c>
      <c r="M100" s="59"/>
      <c r="N100" s="24"/>
      <c r="O100" s="23">
        <v>0</v>
      </c>
      <c r="P100" s="56"/>
      <c r="Q100" s="24"/>
      <c r="R100" s="23">
        <v>0</v>
      </c>
      <c r="S100" s="56"/>
      <c r="T100" s="56"/>
      <c r="U100" s="24"/>
      <c r="V100" s="101">
        <f t="shared" si="4"/>
        <v>0</v>
      </c>
    </row>
    <row r="101" spans="1:22" ht="25.5" x14ac:dyDescent="0.2">
      <c r="A101" s="16" t="s">
        <v>189</v>
      </c>
      <c r="B101" s="23"/>
      <c r="C101" s="23"/>
      <c r="D101" s="23"/>
      <c r="E101" s="23"/>
      <c r="F101" s="23"/>
      <c r="G101" s="6"/>
      <c r="H101" s="104">
        <v>25700</v>
      </c>
      <c r="I101" s="59"/>
      <c r="J101" s="24"/>
      <c r="K101" s="47"/>
      <c r="L101" s="104">
        <v>0</v>
      </c>
      <c r="M101" s="59"/>
      <c r="N101" s="24"/>
      <c r="O101" s="106">
        <v>0</v>
      </c>
      <c r="P101" s="56"/>
      <c r="Q101" s="24"/>
      <c r="R101" s="23">
        <v>0</v>
      </c>
      <c r="S101" s="56"/>
      <c r="T101" s="56"/>
      <c r="U101" s="24"/>
      <c r="V101" s="101">
        <f t="shared" si="4"/>
        <v>0</v>
      </c>
    </row>
    <row r="102" spans="1:22" ht="25.5" x14ac:dyDescent="0.2">
      <c r="A102" s="16" t="s">
        <v>190</v>
      </c>
      <c r="B102" s="23"/>
      <c r="C102" s="23"/>
      <c r="D102" s="23"/>
      <c r="E102" s="23"/>
      <c r="F102" s="23"/>
      <c r="G102" s="6"/>
      <c r="H102" s="6">
        <v>40000</v>
      </c>
      <c r="I102" s="59"/>
      <c r="J102" s="24"/>
      <c r="K102" s="23"/>
      <c r="L102" s="6">
        <v>0</v>
      </c>
      <c r="M102" s="59"/>
      <c r="N102" s="24"/>
      <c r="O102" s="23">
        <v>0</v>
      </c>
      <c r="P102" s="56"/>
      <c r="Q102" s="24"/>
      <c r="R102" s="23">
        <v>0</v>
      </c>
      <c r="S102" s="56"/>
      <c r="T102" s="56"/>
      <c r="U102" s="24"/>
      <c r="V102" s="101">
        <f t="shared" si="4"/>
        <v>0</v>
      </c>
    </row>
    <row r="103" spans="1:22" ht="38.25" x14ac:dyDescent="0.2">
      <c r="A103" s="16" t="s">
        <v>191</v>
      </c>
      <c r="B103" s="23"/>
      <c r="C103" s="23"/>
      <c r="D103" s="23"/>
      <c r="E103" s="23"/>
      <c r="F103" s="23"/>
      <c r="G103" s="6"/>
      <c r="H103" s="104">
        <v>500</v>
      </c>
      <c r="I103" s="59"/>
      <c r="J103" s="24"/>
      <c r="K103" s="23"/>
      <c r="L103" s="104">
        <v>50639</v>
      </c>
      <c r="M103" s="59"/>
      <c r="N103" s="24"/>
      <c r="O103" s="23">
        <v>0</v>
      </c>
      <c r="P103" s="56"/>
      <c r="Q103" s="24"/>
      <c r="R103" s="23">
        <v>0</v>
      </c>
      <c r="S103" s="56"/>
      <c r="T103" s="56"/>
      <c r="U103" s="24"/>
      <c r="V103" s="101">
        <f t="shared" si="4"/>
        <v>0</v>
      </c>
    </row>
    <row r="104" spans="1:22" ht="38.25" x14ac:dyDescent="0.2">
      <c r="A104" s="16" t="s">
        <v>192</v>
      </c>
      <c r="B104" s="23"/>
      <c r="C104" s="23"/>
      <c r="D104" s="23"/>
      <c r="E104" s="23"/>
      <c r="F104" s="23"/>
      <c r="G104" s="6"/>
      <c r="H104" s="104">
        <v>6200</v>
      </c>
      <c r="I104" s="59"/>
      <c r="J104" s="24"/>
      <c r="K104" s="23"/>
      <c r="L104" s="104">
        <v>0</v>
      </c>
      <c r="M104" s="59"/>
      <c r="N104" s="24"/>
      <c r="O104" s="23">
        <v>0</v>
      </c>
      <c r="P104" s="56"/>
      <c r="Q104" s="24"/>
      <c r="R104" s="23">
        <v>0</v>
      </c>
      <c r="S104" s="56"/>
      <c r="T104" s="56"/>
      <c r="U104" s="24"/>
      <c r="V104" s="101">
        <f t="shared" si="4"/>
        <v>0</v>
      </c>
    </row>
    <row r="105" spans="1:22" ht="25.5" x14ac:dyDescent="0.2">
      <c r="A105" s="16" t="s">
        <v>193</v>
      </c>
      <c r="B105" s="23"/>
      <c r="C105" s="23"/>
      <c r="D105" s="23"/>
      <c r="E105" s="23"/>
      <c r="F105" s="23"/>
      <c r="G105" s="6"/>
      <c r="H105" s="104">
        <v>0</v>
      </c>
      <c r="I105" s="59"/>
      <c r="J105" s="24"/>
      <c r="K105" s="47"/>
      <c r="L105" s="104">
        <v>0</v>
      </c>
      <c r="M105" s="59"/>
      <c r="N105" s="24"/>
      <c r="O105" s="23">
        <v>100000</v>
      </c>
      <c r="P105" s="56"/>
      <c r="Q105" s="24"/>
      <c r="R105" s="23">
        <v>100000</v>
      </c>
      <c r="S105" s="56"/>
      <c r="T105" s="56"/>
      <c r="U105" s="24"/>
      <c r="V105" s="101">
        <f t="shared" si="4"/>
        <v>0</v>
      </c>
    </row>
    <row r="106" spans="1:22" s="8" customFormat="1" x14ac:dyDescent="0.2">
      <c r="A106" s="17" t="s">
        <v>28</v>
      </c>
      <c r="B106" s="25">
        <f t="shared" ref="B106:R106" si="5">SUM(B64:B105)</f>
        <v>0</v>
      </c>
      <c r="C106" s="25">
        <f t="shared" si="5"/>
        <v>26405.047129999999</v>
      </c>
      <c r="D106" s="25">
        <f t="shared" si="5"/>
        <v>11784.489999999998</v>
      </c>
      <c r="E106" s="25">
        <f t="shared" si="5"/>
        <v>26992.61</v>
      </c>
      <c r="F106" s="25">
        <f t="shared" si="5"/>
        <v>162175.28</v>
      </c>
      <c r="G106" s="1">
        <f t="shared" si="5"/>
        <v>359.74</v>
      </c>
      <c r="H106" s="1">
        <f t="shared" si="5"/>
        <v>289859</v>
      </c>
      <c r="I106" s="60">
        <f t="shared" si="5"/>
        <v>38176.69</v>
      </c>
      <c r="J106" s="63">
        <f t="shared" si="5"/>
        <v>14400.970000000001</v>
      </c>
      <c r="K106" s="25">
        <f t="shared" si="5"/>
        <v>0</v>
      </c>
      <c r="L106" s="1">
        <f t="shared" si="5"/>
        <v>271177</v>
      </c>
      <c r="M106" s="1">
        <f t="shared" si="5"/>
        <v>115020</v>
      </c>
      <c r="N106" s="1">
        <f t="shared" si="5"/>
        <v>17673</v>
      </c>
      <c r="O106" s="25">
        <f t="shared" si="5"/>
        <v>167000</v>
      </c>
      <c r="P106" s="15">
        <f t="shared" si="5"/>
        <v>40930</v>
      </c>
      <c r="Q106" s="26">
        <f t="shared" si="5"/>
        <v>168481</v>
      </c>
      <c r="R106" s="25">
        <f t="shared" si="5"/>
        <v>100000</v>
      </c>
      <c r="S106" s="15"/>
      <c r="T106" s="15">
        <f>SUM(T64:T105)</f>
        <v>12400</v>
      </c>
      <c r="U106" s="26">
        <f>SUM(U64:U105)</f>
        <v>16600</v>
      </c>
      <c r="V106" s="101">
        <f t="shared" si="4"/>
        <v>568.64713000002666</v>
      </c>
    </row>
    <row r="107" spans="1:22" s="37" customFormat="1" x14ac:dyDescent="0.2">
      <c r="A107" s="40" t="s">
        <v>91</v>
      </c>
      <c r="B107" s="43"/>
      <c r="C107" s="43"/>
      <c r="D107" s="43"/>
      <c r="E107" s="43"/>
      <c r="F107" s="43"/>
      <c r="G107" s="44"/>
      <c r="H107" s="45"/>
      <c r="I107" s="58"/>
      <c r="J107" s="46"/>
      <c r="K107" s="43"/>
      <c r="L107" s="45"/>
      <c r="M107" s="58"/>
      <c r="N107" s="46"/>
      <c r="O107" s="43"/>
      <c r="P107" s="99">
        <v>0</v>
      </c>
      <c r="Q107" s="97">
        <v>0</v>
      </c>
      <c r="R107" s="23"/>
      <c r="S107" s="56"/>
      <c r="T107" s="56"/>
      <c r="U107" s="24"/>
      <c r="V107" s="101">
        <f t="shared" si="4"/>
        <v>0</v>
      </c>
    </row>
    <row r="108" spans="1:22" s="37" customFormat="1" ht="25.5" x14ac:dyDescent="0.2">
      <c r="A108" s="72" t="s">
        <v>144</v>
      </c>
      <c r="B108" s="43"/>
      <c r="C108" s="43"/>
      <c r="D108" s="43">
        <v>19688.03</v>
      </c>
      <c r="E108" s="43"/>
      <c r="F108" s="43"/>
      <c r="G108" s="44"/>
      <c r="H108" s="45"/>
      <c r="I108" s="58"/>
      <c r="J108" s="46">
        <v>19688.04</v>
      </c>
      <c r="K108" s="43"/>
      <c r="L108" s="45"/>
      <c r="M108" s="58"/>
      <c r="N108" s="46"/>
      <c r="O108" s="43"/>
      <c r="P108" s="55"/>
      <c r="Q108" s="46"/>
      <c r="R108" s="23"/>
      <c r="S108" s="56"/>
      <c r="T108" s="56"/>
      <c r="U108" s="24"/>
      <c r="V108" s="101">
        <f t="shared" si="4"/>
        <v>-1.0000000002037268E-2</v>
      </c>
    </row>
    <row r="109" spans="1:22" s="8" customFormat="1" x14ac:dyDescent="0.2">
      <c r="A109" s="100" t="s">
        <v>165</v>
      </c>
      <c r="B109" s="43"/>
      <c r="C109" s="43"/>
      <c r="D109" s="43"/>
      <c r="E109" s="43"/>
      <c r="F109" s="43"/>
      <c r="G109" s="44"/>
      <c r="H109" s="45"/>
      <c r="I109" s="58">
        <v>0</v>
      </c>
      <c r="J109" s="46"/>
      <c r="K109" s="43"/>
      <c r="L109" s="45"/>
      <c r="M109" s="96">
        <v>45900</v>
      </c>
      <c r="N109" s="96">
        <v>28000</v>
      </c>
      <c r="O109" s="43"/>
      <c r="P109" s="99">
        <v>2520</v>
      </c>
      <c r="Q109" s="97">
        <v>20420</v>
      </c>
      <c r="R109" s="43"/>
      <c r="S109" s="55"/>
      <c r="T109" s="55"/>
      <c r="U109" s="46"/>
      <c r="V109" s="101">
        <f t="shared" si="4"/>
        <v>0</v>
      </c>
    </row>
    <row r="110" spans="1:22" s="8" customFormat="1" x14ac:dyDescent="0.2">
      <c r="A110" s="100" t="s">
        <v>166</v>
      </c>
      <c r="B110" s="43"/>
      <c r="C110" s="43"/>
      <c r="D110" s="43"/>
      <c r="E110" s="43"/>
      <c r="F110" s="43"/>
      <c r="G110" s="44"/>
      <c r="H110" s="45"/>
      <c r="I110" s="58">
        <v>0</v>
      </c>
      <c r="J110" s="46"/>
      <c r="K110" s="43"/>
      <c r="L110" s="45"/>
      <c r="M110" s="96">
        <v>14989</v>
      </c>
      <c r="N110" s="96">
        <v>14989</v>
      </c>
      <c r="O110" s="43"/>
      <c r="P110" s="55"/>
      <c r="Q110" s="46"/>
      <c r="R110" s="43"/>
      <c r="S110" s="55"/>
      <c r="T110" s="55"/>
      <c r="U110" s="46"/>
      <c r="V110" s="101">
        <f t="shared" si="4"/>
        <v>0</v>
      </c>
    </row>
    <row r="111" spans="1:22" s="8" customFormat="1" x14ac:dyDescent="0.2">
      <c r="A111" s="100" t="s">
        <v>167</v>
      </c>
      <c r="B111" s="43"/>
      <c r="C111" s="43"/>
      <c r="D111" s="43"/>
      <c r="E111" s="43"/>
      <c r="F111" s="43"/>
      <c r="G111" s="44"/>
      <c r="H111" s="45"/>
      <c r="I111" s="58">
        <v>0</v>
      </c>
      <c r="J111" s="46"/>
      <c r="K111" s="43"/>
      <c r="L111" s="45"/>
      <c r="M111" s="96">
        <v>0</v>
      </c>
      <c r="N111" s="58"/>
      <c r="O111" s="43"/>
      <c r="P111" s="99">
        <v>23000</v>
      </c>
      <c r="Q111" s="97">
        <v>23000</v>
      </c>
      <c r="R111" s="43"/>
      <c r="S111" s="55"/>
      <c r="T111" s="55"/>
      <c r="U111" s="46"/>
      <c r="V111" s="101">
        <f t="shared" si="4"/>
        <v>0</v>
      </c>
    </row>
    <row r="112" spans="1:22" x14ac:dyDescent="0.2">
      <c r="A112" s="20" t="s">
        <v>19</v>
      </c>
      <c r="B112" s="23"/>
      <c r="C112" s="23"/>
      <c r="D112" s="23"/>
      <c r="E112" s="23"/>
      <c r="F112" s="23"/>
      <c r="G112" s="6"/>
      <c r="H112" s="7">
        <v>41000</v>
      </c>
      <c r="I112" s="62"/>
      <c r="J112" s="32"/>
      <c r="K112" s="23"/>
      <c r="L112" s="6"/>
      <c r="M112" s="59"/>
      <c r="N112" s="24"/>
      <c r="O112" s="23"/>
      <c r="P112" s="56"/>
      <c r="Q112" s="24"/>
      <c r="R112" s="23"/>
      <c r="S112" s="56"/>
      <c r="T112" s="56"/>
      <c r="U112" s="24"/>
      <c r="V112" s="101">
        <f t="shared" si="4"/>
        <v>0</v>
      </c>
    </row>
    <row r="113" spans="1:22" x14ac:dyDescent="0.2">
      <c r="A113" s="20" t="s">
        <v>20</v>
      </c>
      <c r="B113" s="23"/>
      <c r="C113" s="23"/>
      <c r="D113" s="23"/>
      <c r="E113" s="23"/>
      <c r="F113" s="23"/>
      <c r="G113" s="6"/>
      <c r="H113" s="6">
        <v>15000</v>
      </c>
      <c r="I113" s="59"/>
      <c r="J113" s="24"/>
      <c r="K113" s="47"/>
      <c r="L113" s="6">
        <v>119416</v>
      </c>
      <c r="M113" s="59"/>
      <c r="N113" s="24"/>
      <c r="O113" s="23">
        <v>50000</v>
      </c>
      <c r="P113" s="56"/>
      <c r="Q113" s="24"/>
      <c r="R113" s="23"/>
      <c r="S113" s="56"/>
      <c r="T113" s="56"/>
      <c r="U113" s="24"/>
      <c r="V113" s="101">
        <f t="shared" si="4"/>
        <v>0</v>
      </c>
    </row>
    <row r="114" spans="1:22" x14ac:dyDescent="0.2">
      <c r="A114" s="20" t="s">
        <v>21</v>
      </c>
      <c r="B114" s="23"/>
      <c r="C114" s="23"/>
      <c r="D114" s="23"/>
      <c r="E114" s="23"/>
      <c r="F114" s="23"/>
      <c r="G114" s="6"/>
      <c r="H114" s="6">
        <v>2000</v>
      </c>
      <c r="I114" s="59"/>
      <c r="J114" s="24"/>
      <c r="K114" s="47"/>
      <c r="L114" s="6">
        <v>22000</v>
      </c>
      <c r="M114" s="59"/>
      <c r="N114" s="24"/>
      <c r="O114" s="23"/>
      <c r="P114" s="56"/>
      <c r="Q114" s="24"/>
      <c r="R114" s="23"/>
      <c r="S114" s="56"/>
      <c r="T114" s="56"/>
      <c r="U114" s="24"/>
      <c r="V114" s="101">
        <f t="shared" si="4"/>
        <v>0</v>
      </c>
    </row>
    <row r="115" spans="1:22" x14ac:dyDescent="0.2">
      <c r="A115" s="20" t="s">
        <v>22</v>
      </c>
      <c r="B115" s="23"/>
      <c r="C115" s="23"/>
      <c r="D115" s="23"/>
      <c r="E115" s="23"/>
      <c r="F115" s="23"/>
      <c r="G115" s="6"/>
      <c r="H115" s="6">
        <f>1000+2500</f>
        <v>3500</v>
      </c>
      <c r="I115" s="59"/>
      <c r="J115" s="24"/>
      <c r="K115" s="23"/>
      <c r="L115" s="6">
        <f>32500-2500</f>
        <v>30000</v>
      </c>
      <c r="M115" s="59"/>
      <c r="N115" s="24"/>
      <c r="O115" s="23"/>
      <c r="P115" s="56"/>
      <c r="Q115" s="24"/>
      <c r="R115" s="23"/>
      <c r="S115" s="56"/>
      <c r="T115" s="56"/>
      <c r="U115" s="24"/>
      <c r="V115" s="101">
        <f t="shared" si="4"/>
        <v>0</v>
      </c>
    </row>
    <row r="116" spans="1:22" s="8" customFormat="1" x14ac:dyDescent="0.2">
      <c r="A116" s="17" t="s">
        <v>29</v>
      </c>
      <c r="B116" s="25">
        <f t="shared" ref="B116:R116" si="6">SUM(B107:B115)</f>
        <v>0</v>
      </c>
      <c r="C116" s="25">
        <f>SUM(C107:C115)</f>
        <v>0</v>
      </c>
      <c r="D116" s="25">
        <f t="shared" si="6"/>
        <v>19688.03</v>
      </c>
      <c r="E116" s="25">
        <f t="shared" si="6"/>
        <v>0</v>
      </c>
      <c r="F116" s="25">
        <f t="shared" si="6"/>
        <v>0</v>
      </c>
      <c r="G116" s="1">
        <f t="shared" si="6"/>
        <v>0</v>
      </c>
      <c r="H116" s="1">
        <f t="shared" si="6"/>
        <v>61500</v>
      </c>
      <c r="I116" s="60">
        <f t="shared" si="6"/>
        <v>0</v>
      </c>
      <c r="J116" s="63">
        <f t="shared" si="6"/>
        <v>19688.04</v>
      </c>
      <c r="K116" s="25">
        <f t="shared" si="6"/>
        <v>0</v>
      </c>
      <c r="L116" s="1">
        <f t="shared" si="6"/>
        <v>171416</v>
      </c>
      <c r="M116" s="1">
        <f t="shared" si="6"/>
        <v>60889</v>
      </c>
      <c r="N116" s="26">
        <f t="shared" si="6"/>
        <v>42989</v>
      </c>
      <c r="O116" s="25">
        <f t="shared" si="6"/>
        <v>50000</v>
      </c>
      <c r="P116" s="15">
        <f t="shared" si="6"/>
        <v>25520</v>
      </c>
      <c r="Q116" s="26">
        <f t="shared" si="6"/>
        <v>43420</v>
      </c>
      <c r="R116" s="25">
        <f t="shared" si="6"/>
        <v>0</v>
      </c>
      <c r="S116" s="15"/>
      <c r="T116" s="15">
        <f>SUM(T107:T115)</f>
        <v>0</v>
      </c>
      <c r="U116" s="26">
        <f>SUM(U107:U115)</f>
        <v>0</v>
      </c>
      <c r="V116" s="101">
        <f t="shared" si="4"/>
        <v>-1.0000000009313226E-2</v>
      </c>
    </row>
    <row r="117" spans="1:22" s="37" customFormat="1" x14ac:dyDescent="0.2">
      <c r="A117" s="41" t="s">
        <v>109</v>
      </c>
      <c r="B117" s="43"/>
      <c r="C117" s="43"/>
      <c r="D117" s="43"/>
      <c r="E117" s="43"/>
      <c r="F117" s="43"/>
      <c r="G117" s="44"/>
      <c r="H117" s="45"/>
      <c r="I117" s="58"/>
      <c r="J117" s="46"/>
      <c r="K117" s="43"/>
      <c r="L117" s="45"/>
      <c r="M117" s="58"/>
      <c r="N117" s="46"/>
      <c r="O117" s="43"/>
      <c r="P117" s="55"/>
      <c r="Q117" s="46"/>
      <c r="R117" s="43"/>
      <c r="S117" s="55"/>
      <c r="T117" s="55"/>
      <c r="U117" s="46"/>
      <c r="V117" s="101">
        <f t="shared" si="4"/>
        <v>0</v>
      </c>
    </row>
    <row r="118" spans="1:22" s="37" customFormat="1" x14ac:dyDescent="0.2">
      <c r="A118" s="41" t="s">
        <v>110</v>
      </c>
      <c r="B118" s="43"/>
      <c r="C118" s="43"/>
      <c r="D118" s="43">
        <v>205.7</v>
      </c>
      <c r="E118" s="43"/>
      <c r="F118" s="43"/>
      <c r="G118" s="44"/>
      <c r="H118" s="45"/>
      <c r="I118" s="58">
        <f>13000+106.48</f>
        <v>13106.48</v>
      </c>
      <c r="J118" s="46">
        <v>5000</v>
      </c>
      <c r="K118" s="43"/>
      <c r="L118" s="45"/>
      <c r="M118" s="58">
        <v>30000</v>
      </c>
      <c r="N118" s="46">
        <v>30200</v>
      </c>
      <c r="O118" s="43"/>
      <c r="P118" s="55">
        <v>2276</v>
      </c>
      <c r="Q118" s="46">
        <v>10388</v>
      </c>
      <c r="R118" s="43"/>
      <c r="S118" s="55"/>
      <c r="T118" s="55"/>
      <c r="U118" s="46"/>
      <c r="V118" s="101">
        <f t="shared" si="4"/>
        <v>0.18000000000029104</v>
      </c>
    </row>
    <row r="119" spans="1:22" s="8" customFormat="1" x14ac:dyDescent="0.2">
      <c r="A119" s="17" t="s">
        <v>32</v>
      </c>
      <c r="B119" s="25">
        <f t="shared" ref="B119:R119" si="7">SUM(B117:B118)</f>
        <v>0</v>
      </c>
      <c r="C119" s="25">
        <f t="shared" si="7"/>
        <v>0</v>
      </c>
      <c r="D119" s="25">
        <f t="shared" si="7"/>
        <v>205.7</v>
      </c>
      <c r="E119" s="25">
        <f t="shared" si="7"/>
        <v>0</v>
      </c>
      <c r="F119" s="25">
        <f t="shared" si="7"/>
        <v>0</v>
      </c>
      <c r="G119" s="1">
        <f t="shared" si="7"/>
        <v>0</v>
      </c>
      <c r="H119" s="1">
        <f t="shared" si="7"/>
        <v>0</v>
      </c>
      <c r="I119" s="60">
        <f t="shared" si="7"/>
        <v>13106.48</v>
      </c>
      <c r="J119" s="63">
        <f t="shared" si="7"/>
        <v>5000</v>
      </c>
      <c r="K119" s="25">
        <f t="shared" si="7"/>
        <v>0</v>
      </c>
      <c r="L119" s="1">
        <f t="shared" si="7"/>
        <v>0</v>
      </c>
      <c r="M119" s="1">
        <f t="shared" si="7"/>
        <v>30000</v>
      </c>
      <c r="N119" s="26">
        <f t="shared" si="7"/>
        <v>30200</v>
      </c>
      <c r="O119" s="25">
        <f t="shared" si="7"/>
        <v>0</v>
      </c>
      <c r="P119" s="15">
        <f t="shared" si="7"/>
        <v>2276</v>
      </c>
      <c r="Q119" s="26">
        <f t="shared" si="7"/>
        <v>10388</v>
      </c>
      <c r="R119" s="25">
        <f t="shared" si="7"/>
        <v>0</v>
      </c>
      <c r="S119" s="15"/>
      <c r="T119" s="15">
        <f>SUM(T117:T118)</f>
        <v>0</v>
      </c>
      <c r="U119" s="26">
        <f>SUM(U117:U118)</f>
        <v>0</v>
      </c>
      <c r="V119" s="101">
        <f t="shared" si="4"/>
        <v>0.18000000000029104</v>
      </c>
    </row>
    <row r="120" spans="1:22" s="37" customFormat="1" x14ac:dyDescent="0.2">
      <c r="A120" s="42" t="s">
        <v>98</v>
      </c>
      <c r="B120" s="43"/>
      <c r="C120" s="43"/>
      <c r="D120" s="43"/>
      <c r="E120" s="43"/>
      <c r="F120" s="43"/>
      <c r="G120" s="44"/>
      <c r="H120" s="45"/>
      <c r="I120" s="58"/>
      <c r="J120" s="46"/>
      <c r="K120" s="43"/>
      <c r="L120" s="45"/>
      <c r="M120" s="58">
        <v>25700</v>
      </c>
      <c r="N120" s="46">
        <v>0</v>
      </c>
      <c r="O120" s="43"/>
      <c r="P120" s="55">
        <v>40000</v>
      </c>
      <c r="Q120" s="46">
        <v>65700</v>
      </c>
      <c r="R120" s="43"/>
      <c r="S120" s="55"/>
      <c r="T120" s="55"/>
      <c r="U120" s="46"/>
      <c r="V120" s="101">
        <f t="shared" si="4"/>
        <v>0</v>
      </c>
    </row>
    <row r="121" spans="1:22" s="37" customFormat="1" ht="25.5" x14ac:dyDescent="0.2">
      <c r="A121" s="42" t="s">
        <v>99</v>
      </c>
      <c r="B121" s="43"/>
      <c r="C121" s="43"/>
      <c r="D121" s="43"/>
      <c r="E121" s="43"/>
      <c r="F121" s="43"/>
      <c r="G121" s="44"/>
      <c r="H121" s="45"/>
      <c r="I121" s="58"/>
      <c r="J121" s="46"/>
      <c r="K121" s="43"/>
      <c r="L121" s="45"/>
      <c r="M121" s="58">
        <v>0</v>
      </c>
      <c r="N121" s="46"/>
      <c r="O121" s="43"/>
      <c r="P121" s="55"/>
      <c r="Q121" s="46"/>
      <c r="R121" s="43"/>
      <c r="S121" s="55"/>
      <c r="T121" s="55"/>
      <c r="U121" s="46"/>
      <c r="V121" s="101">
        <f t="shared" si="4"/>
        <v>0</v>
      </c>
    </row>
    <row r="122" spans="1:22" s="37" customFormat="1" x14ac:dyDescent="0.2">
      <c r="A122" s="42" t="s">
        <v>100</v>
      </c>
      <c r="B122" s="43"/>
      <c r="C122" s="43"/>
      <c r="D122" s="43"/>
      <c r="E122" s="43"/>
      <c r="F122" s="43"/>
      <c r="G122" s="44"/>
      <c r="H122" s="45"/>
      <c r="I122" s="58"/>
      <c r="J122" s="46"/>
      <c r="K122" s="43"/>
      <c r="L122" s="45"/>
      <c r="M122" s="58">
        <v>41800</v>
      </c>
      <c r="N122" s="46">
        <v>20000</v>
      </c>
      <c r="O122" s="43"/>
      <c r="P122" s="55">
        <v>42500</v>
      </c>
      <c r="Q122" s="46">
        <v>64300</v>
      </c>
      <c r="R122" s="43"/>
      <c r="S122" s="55"/>
      <c r="T122" s="55"/>
      <c r="U122" s="46"/>
      <c r="V122" s="101">
        <f t="shared" si="4"/>
        <v>0</v>
      </c>
    </row>
    <row r="123" spans="1:22" x14ac:dyDescent="0.2">
      <c r="A123" s="40" t="s">
        <v>92</v>
      </c>
      <c r="B123" s="23"/>
      <c r="C123" s="23"/>
      <c r="D123" s="23"/>
      <c r="E123" s="23"/>
      <c r="F123" s="23"/>
      <c r="G123" s="6"/>
      <c r="H123" s="6"/>
      <c r="I123" s="59"/>
      <c r="J123" s="24"/>
      <c r="K123" s="23"/>
      <c r="L123" s="6"/>
      <c r="M123" s="59"/>
      <c r="N123" s="24"/>
      <c r="O123" s="23"/>
      <c r="P123" s="56">
        <v>141437</v>
      </c>
      <c r="Q123" s="24">
        <v>141437</v>
      </c>
      <c r="R123" s="23"/>
      <c r="S123" s="56"/>
      <c r="T123" s="56"/>
      <c r="U123" s="24"/>
      <c r="V123" s="101">
        <f t="shared" si="4"/>
        <v>0</v>
      </c>
    </row>
    <row r="124" spans="1:22" s="8" customFormat="1" x14ac:dyDescent="0.2">
      <c r="A124" s="17" t="s">
        <v>93</v>
      </c>
      <c r="B124" s="25">
        <f t="shared" ref="B124:R124" si="8">SUM(B120:B123)</f>
        <v>0</v>
      </c>
      <c r="C124" s="25">
        <f t="shared" si="8"/>
        <v>0</v>
      </c>
      <c r="D124" s="25">
        <f t="shared" si="8"/>
        <v>0</v>
      </c>
      <c r="E124" s="25">
        <f t="shared" si="8"/>
        <v>0</v>
      </c>
      <c r="F124" s="25">
        <f t="shared" si="8"/>
        <v>0</v>
      </c>
      <c r="G124" s="1">
        <f t="shared" si="8"/>
        <v>0</v>
      </c>
      <c r="H124" s="1">
        <f t="shared" si="8"/>
        <v>0</v>
      </c>
      <c r="I124" s="60">
        <f t="shared" si="8"/>
        <v>0</v>
      </c>
      <c r="J124" s="63">
        <f t="shared" si="8"/>
        <v>0</v>
      </c>
      <c r="K124" s="25">
        <f t="shared" si="8"/>
        <v>0</v>
      </c>
      <c r="L124" s="1">
        <f t="shared" si="8"/>
        <v>0</v>
      </c>
      <c r="M124" s="1">
        <f t="shared" si="8"/>
        <v>67500</v>
      </c>
      <c r="N124" s="26">
        <f t="shared" si="8"/>
        <v>20000</v>
      </c>
      <c r="O124" s="25">
        <f t="shared" si="8"/>
        <v>0</v>
      </c>
      <c r="P124" s="15">
        <f t="shared" si="8"/>
        <v>223937</v>
      </c>
      <c r="Q124" s="26">
        <f t="shared" si="8"/>
        <v>271437</v>
      </c>
      <c r="R124" s="25">
        <f t="shared" si="8"/>
        <v>0</v>
      </c>
      <c r="S124" s="15"/>
      <c r="T124" s="15">
        <f>SUM(T120:T123)</f>
        <v>0</v>
      </c>
      <c r="U124" s="26">
        <f>SUM(U120:U123)</f>
        <v>0</v>
      </c>
      <c r="V124" s="101">
        <f t="shared" si="4"/>
        <v>0</v>
      </c>
    </row>
    <row r="125" spans="1:22" s="37" customFormat="1" x14ac:dyDescent="0.2">
      <c r="A125" s="41" t="s">
        <v>111</v>
      </c>
      <c r="B125" s="43"/>
      <c r="C125" s="43"/>
      <c r="D125" s="43"/>
      <c r="E125" s="43"/>
      <c r="F125" s="43"/>
      <c r="G125" s="44"/>
      <c r="H125" s="45"/>
      <c r="I125" s="58"/>
      <c r="J125" s="46"/>
      <c r="K125" s="43"/>
      <c r="L125" s="89">
        <v>7543</v>
      </c>
      <c r="M125" s="58">
        <v>42000</v>
      </c>
      <c r="N125" s="46"/>
      <c r="O125" s="90">
        <v>28670</v>
      </c>
      <c r="P125" s="55">
        <v>156000</v>
      </c>
      <c r="Q125" s="46">
        <v>198000</v>
      </c>
      <c r="R125" s="43"/>
      <c r="S125" s="55"/>
      <c r="T125" s="55"/>
      <c r="U125" s="46"/>
      <c r="V125" s="101">
        <f t="shared" si="4"/>
        <v>0</v>
      </c>
    </row>
    <row r="126" spans="1:22" s="8" customFormat="1" x14ac:dyDescent="0.2">
      <c r="A126" s="17" t="s">
        <v>112</v>
      </c>
      <c r="B126" s="1">
        <f t="shared" ref="B126:U126" si="9">SUBTOTAL(9,B125)</f>
        <v>0</v>
      </c>
      <c r="C126" s="1">
        <f t="shared" si="9"/>
        <v>0</v>
      </c>
      <c r="D126" s="1">
        <f t="shared" si="9"/>
        <v>0</v>
      </c>
      <c r="E126" s="1">
        <f t="shared" si="9"/>
        <v>0</v>
      </c>
      <c r="F126" s="1">
        <f t="shared" si="9"/>
        <v>0</v>
      </c>
      <c r="G126" s="1">
        <f t="shared" si="9"/>
        <v>0</v>
      </c>
      <c r="H126" s="1">
        <f t="shared" si="9"/>
        <v>0</v>
      </c>
      <c r="I126" s="60">
        <f t="shared" si="9"/>
        <v>0</v>
      </c>
      <c r="J126" s="63">
        <f t="shared" si="9"/>
        <v>0</v>
      </c>
      <c r="K126" s="25">
        <f t="shared" si="9"/>
        <v>0</v>
      </c>
      <c r="L126" s="1">
        <f t="shared" si="9"/>
        <v>7543</v>
      </c>
      <c r="M126" s="1">
        <f t="shared" si="9"/>
        <v>42000</v>
      </c>
      <c r="N126" s="26">
        <f t="shared" si="9"/>
        <v>0</v>
      </c>
      <c r="O126" s="25">
        <f t="shared" si="9"/>
        <v>28670</v>
      </c>
      <c r="P126" s="15">
        <f>SUM(P125)</f>
        <v>156000</v>
      </c>
      <c r="Q126" s="26">
        <f t="shared" si="9"/>
        <v>198000</v>
      </c>
      <c r="R126" s="25">
        <f t="shared" si="9"/>
        <v>0</v>
      </c>
      <c r="S126" s="15"/>
      <c r="T126" s="15">
        <f>SUM(T125)</f>
        <v>0</v>
      </c>
      <c r="U126" s="26">
        <f t="shared" si="9"/>
        <v>0</v>
      </c>
      <c r="V126" s="101">
        <f t="shared" si="4"/>
        <v>0</v>
      </c>
    </row>
    <row r="127" spans="1:22" s="8" customFormat="1" ht="18.75" customHeight="1" x14ac:dyDescent="0.2">
      <c r="A127" s="73"/>
      <c r="B127" s="74">
        <f t="shared" ref="B127:R127" si="10">B126+B124+B119+B116+B106+B63+B50+B35</f>
        <v>0</v>
      </c>
      <c r="C127" s="74">
        <f t="shared" si="10"/>
        <v>459878.44561000005</v>
      </c>
      <c r="D127" s="74">
        <f t="shared" si="10"/>
        <v>312288.5</v>
      </c>
      <c r="E127" s="74">
        <f t="shared" si="10"/>
        <v>331976.3</v>
      </c>
      <c r="F127" s="74">
        <f t="shared" si="10"/>
        <v>199479.2</v>
      </c>
      <c r="G127" s="74">
        <f t="shared" si="10"/>
        <v>1028.5999999999999</v>
      </c>
      <c r="H127" s="74">
        <f t="shared" si="10"/>
        <v>535700.73</v>
      </c>
      <c r="I127" s="74">
        <f t="shared" si="10"/>
        <v>414616.24</v>
      </c>
      <c r="J127" s="74">
        <f t="shared" si="10"/>
        <v>477862.83000000007</v>
      </c>
      <c r="K127" s="74">
        <f t="shared" si="10"/>
        <v>0</v>
      </c>
      <c r="L127" s="74">
        <f t="shared" si="10"/>
        <v>1036672</v>
      </c>
      <c r="M127" s="74">
        <f t="shared" si="10"/>
        <v>1022913.5800000001</v>
      </c>
      <c r="N127" s="74">
        <f t="shared" si="10"/>
        <v>487426</v>
      </c>
      <c r="O127" s="74">
        <f t="shared" si="10"/>
        <v>858552</v>
      </c>
      <c r="P127" s="74">
        <f t="shared" si="10"/>
        <v>925796</v>
      </c>
      <c r="Q127" s="74">
        <f t="shared" si="10"/>
        <v>1703073</v>
      </c>
      <c r="R127" s="74">
        <f t="shared" si="10"/>
        <v>168710</v>
      </c>
      <c r="S127" s="75"/>
      <c r="T127" s="74">
        <f>T126+T124+T119+T116+T106+T63+T50+T35</f>
        <v>12400</v>
      </c>
      <c r="U127" s="74">
        <f>U126+U124+U119+U116+U106+U63+U50+U35</f>
        <v>142215</v>
      </c>
      <c r="V127" s="101">
        <f t="shared" si="4"/>
        <v>5339.6356100002304</v>
      </c>
    </row>
    <row r="128" spans="1:22" s="8" customFormat="1" x14ac:dyDescent="0.2">
      <c r="A128" s="2"/>
      <c r="B128" s="29"/>
      <c r="C128" s="29"/>
      <c r="D128" s="29"/>
      <c r="E128" s="29"/>
      <c r="F128" s="29"/>
      <c r="G128" s="3"/>
      <c r="H128" s="3"/>
      <c r="I128" s="3"/>
      <c r="J128" s="64"/>
      <c r="K128" s="29"/>
      <c r="L128" s="3"/>
      <c r="M128" s="3"/>
      <c r="N128" s="30"/>
      <c r="O128" s="29"/>
      <c r="P128" s="3"/>
      <c r="Q128" s="30"/>
      <c r="R128" s="29"/>
      <c r="S128" s="3"/>
      <c r="T128" s="3"/>
      <c r="U128" s="30"/>
      <c r="V128" s="101">
        <f t="shared" si="4"/>
        <v>0</v>
      </c>
    </row>
    <row r="129" spans="1:22" s="8" customFormat="1" ht="38.25" x14ac:dyDescent="0.2">
      <c r="A129" s="51" t="s">
        <v>137</v>
      </c>
      <c r="B129" s="66"/>
      <c r="C129" s="66"/>
      <c r="D129" s="66"/>
      <c r="E129" s="66"/>
      <c r="F129" s="66"/>
      <c r="G129" s="67"/>
      <c r="H129" s="67"/>
      <c r="I129" s="68"/>
      <c r="J129" s="69"/>
      <c r="K129" s="66"/>
      <c r="L129" s="67"/>
      <c r="M129" s="68"/>
      <c r="N129" s="69"/>
      <c r="O129" s="66"/>
      <c r="P129" s="70"/>
      <c r="Q129" s="69"/>
      <c r="R129" s="66"/>
      <c r="S129" s="70"/>
      <c r="T129" s="70"/>
      <c r="U129" s="69"/>
      <c r="V129" s="101">
        <f t="shared" si="4"/>
        <v>0</v>
      </c>
    </row>
    <row r="130" spans="1:22" s="8" customFormat="1" ht="38.25" x14ac:dyDescent="0.2">
      <c r="A130" s="52" t="s">
        <v>117</v>
      </c>
      <c r="B130" s="43"/>
      <c r="C130" s="43"/>
      <c r="D130" s="43">
        <v>4200.32</v>
      </c>
      <c r="E130" s="43">
        <v>0</v>
      </c>
      <c r="F130" s="43"/>
      <c r="G130" s="44"/>
      <c r="H130" s="45"/>
      <c r="I130" s="58"/>
      <c r="J130" s="46">
        <v>5354.55</v>
      </c>
      <c r="K130" s="43"/>
      <c r="L130" s="45"/>
      <c r="M130" s="58"/>
      <c r="N130" s="46"/>
      <c r="O130" s="43"/>
      <c r="P130" s="55"/>
      <c r="Q130" s="46"/>
      <c r="R130" s="43"/>
      <c r="S130" s="55"/>
      <c r="T130" s="55"/>
      <c r="U130" s="46"/>
      <c r="V130" s="101">
        <f t="shared" si="4"/>
        <v>-1154.2300000000005</v>
      </c>
    </row>
    <row r="131" spans="1:22" s="8" customFormat="1" ht="25.5" x14ac:dyDescent="0.2">
      <c r="A131" s="52" t="s">
        <v>118</v>
      </c>
      <c r="B131" s="43"/>
      <c r="C131" s="43"/>
      <c r="D131" s="43">
        <v>12485.01</v>
      </c>
      <c r="E131" s="43"/>
      <c r="F131" s="43"/>
      <c r="G131" s="44"/>
      <c r="H131" s="45"/>
      <c r="I131" s="58">
        <v>1198.5</v>
      </c>
      <c r="J131" s="46">
        <v>13683.76</v>
      </c>
      <c r="K131" s="43"/>
      <c r="L131" s="45"/>
      <c r="M131" s="58"/>
      <c r="N131" s="46"/>
      <c r="O131" s="43"/>
      <c r="P131" s="55"/>
      <c r="Q131" s="46"/>
      <c r="R131" s="43"/>
      <c r="S131" s="55"/>
      <c r="T131" s="55"/>
      <c r="U131" s="46"/>
      <c r="V131" s="101">
        <f t="shared" si="4"/>
        <v>-0.25</v>
      </c>
    </row>
    <row r="132" spans="1:22" s="8" customFormat="1" ht="25.5" x14ac:dyDescent="0.2">
      <c r="A132" s="52" t="s">
        <v>119</v>
      </c>
      <c r="B132" s="43"/>
      <c r="C132" s="43"/>
      <c r="D132" s="43">
        <v>731.76</v>
      </c>
      <c r="E132" s="43"/>
      <c r="F132" s="43"/>
      <c r="G132" s="44"/>
      <c r="H132" s="45"/>
      <c r="I132" s="58">
        <v>11.66</v>
      </c>
      <c r="J132" s="46"/>
      <c r="K132" s="43"/>
      <c r="L132" s="45"/>
      <c r="M132" s="58"/>
      <c r="N132" s="46">
        <v>743.42</v>
      </c>
      <c r="O132" s="43"/>
      <c r="P132" s="55"/>
      <c r="Q132" s="46"/>
      <c r="R132" s="43"/>
      <c r="S132" s="55"/>
      <c r="T132" s="55"/>
      <c r="U132" s="46"/>
      <c r="V132" s="101">
        <f t="shared" si="4"/>
        <v>0</v>
      </c>
    </row>
    <row r="133" spans="1:22" s="8" customFormat="1" ht="25.5" x14ac:dyDescent="0.2">
      <c r="A133" s="53" t="s">
        <v>120</v>
      </c>
      <c r="B133" s="43"/>
      <c r="C133" s="43"/>
      <c r="D133" s="43">
        <v>40663.625010000003</v>
      </c>
      <c r="E133" s="43"/>
      <c r="F133" s="43"/>
      <c r="G133" s="44"/>
      <c r="H133" s="45"/>
      <c r="I133" s="58">
        <v>5605.38</v>
      </c>
      <c r="J133" s="46">
        <v>46269</v>
      </c>
      <c r="K133" s="43"/>
      <c r="L133" s="45"/>
      <c r="M133" s="58"/>
      <c r="N133" s="46"/>
      <c r="O133" s="43"/>
      <c r="P133" s="55"/>
      <c r="Q133" s="46"/>
      <c r="R133" s="43"/>
      <c r="S133" s="55"/>
      <c r="T133" s="55"/>
      <c r="U133" s="46"/>
      <c r="V133" s="101">
        <f t="shared" si="4"/>
        <v>5.0100000007660128E-3</v>
      </c>
    </row>
    <row r="134" spans="1:22" s="8" customFormat="1" ht="25.5" x14ac:dyDescent="0.2">
      <c r="A134" s="53" t="s">
        <v>121</v>
      </c>
      <c r="B134" s="43"/>
      <c r="C134" s="43"/>
      <c r="D134" s="43">
        <v>0</v>
      </c>
      <c r="E134" s="43"/>
      <c r="F134" s="43"/>
      <c r="G134" s="44"/>
      <c r="H134" s="45"/>
      <c r="I134" s="58">
        <f>29294+22500</f>
        <v>51794</v>
      </c>
      <c r="J134" s="46"/>
      <c r="K134" s="43"/>
      <c r="L134" s="45"/>
      <c r="M134" s="58"/>
      <c r="N134" s="46">
        <v>51794</v>
      </c>
      <c r="O134" s="43"/>
      <c r="P134" s="55"/>
      <c r="Q134" s="46"/>
      <c r="R134" s="43"/>
      <c r="S134" s="55"/>
      <c r="T134" s="55"/>
      <c r="U134" s="46"/>
      <c r="V134" s="101">
        <f t="shared" si="4"/>
        <v>0</v>
      </c>
    </row>
    <row r="135" spans="1:22" s="8" customFormat="1" ht="25.5" x14ac:dyDescent="0.2">
      <c r="A135" s="53" t="s">
        <v>122</v>
      </c>
      <c r="B135" s="43"/>
      <c r="C135" s="43"/>
      <c r="D135" s="43"/>
      <c r="E135" s="43"/>
      <c r="F135" s="43"/>
      <c r="G135" s="44"/>
      <c r="H135" s="45"/>
      <c r="I135" s="58"/>
      <c r="J135" s="46"/>
      <c r="K135" s="43"/>
      <c r="L135" s="45"/>
      <c r="M135" s="58"/>
      <c r="N135" s="46"/>
      <c r="O135" s="43"/>
      <c r="P135" s="55"/>
      <c r="Q135" s="46"/>
      <c r="R135" s="43"/>
      <c r="S135" s="55"/>
      <c r="T135" s="55"/>
      <c r="U135" s="46"/>
      <c r="V135" s="101">
        <f t="shared" ref="V135:V156" si="11">C135+D135+I135+M135+P135+T135-E135-J135-N135-Q135-U135</f>
        <v>0</v>
      </c>
    </row>
    <row r="136" spans="1:22" s="8" customFormat="1" ht="25.5" x14ac:dyDescent="0.2">
      <c r="A136" s="53" t="s">
        <v>123</v>
      </c>
      <c r="B136" s="43"/>
      <c r="C136" s="43"/>
      <c r="D136" s="43"/>
      <c r="E136" s="43"/>
      <c r="F136" s="43"/>
      <c r="G136" s="44"/>
      <c r="H136" s="45"/>
      <c r="I136" s="58"/>
      <c r="J136" s="46"/>
      <c r="K136" s="43"/>
      <c r="L136" s="45"/>
      <c r="M136" s="58"/>
      <c r="N136" s="46"/>
      <c r="O136" s="43"/>
      <c r="P136" s="55"/>
      <c r="Q136" s="46"/>
      <c r="R136" s="43"/>
      <c r="S136" s="55"/>
      <c r="T136" s="55"/>
      <c r="U136" s="46"/>
      <c r="V136" s="101">
        <f t="shared" si="11"/>
        <v>0</v>
      </c>
    </row>
    <row r="137" spans="1:22" s="8" customFormat="1" ht="25.5" x14ac:dyDescent="0.2">
      <c r="A137" s="53" t="s">
        <v>124</v>
      </c>
      <c r="B137" s="43"/>
      <c r="C137" s="43"/>
      <c r="D137" s="43"/>
      <c r="E137" s="43"/>
      <c r="F137" s="43"/>
      <c r="G137" s="44"/>
      <c r="H137" s="45"/>
      <c r="I137" s="58"/>
      <c r="J137" s="46"/>
      <c r="K137" s="43"/>
      <c r="L137" s="45"/>
      <c r="M137" s="58"/>
      <c r="N137" s="46"/>
      <c r="O137" s="43"/>
      <c r="P137" s="55"/>
      <c r="Q137" s="46"/>
      <c r="R137" s="43"/>
      <c r="S137" s="55"/>
      <c r="T137" s="55"/>
      <c r="U137" s="46"/>
      <c r="V137" s="101">
        <f t="shared" si="11"/>
        <v>0</v>
      </c>
    </row>
    <row r="138" spans="1:22" s="8" customFormat="1" ht="25.5" x14ac:dyDescent="0.2">
      <c r="A138" s="53" t="s">
        <v>125</v>
      </c>
      <c r="B138" s="43"/>
      <c r="C138" s="43"/>
      <c r="D138" s="43"/>
      <c r="E138" s="43"/>
      <c r="F138" s="43"/>
      <c r="G138" s="44"/>
      <c r="H138" s="45"/>
      <c r="I138" s="58"/>
      <c r="J138" s="46"/>
      <c r="K138" s="43"/>
      <c r="L138" s="45"/>
      <c r="M138" s="58"/>
      <c r="N138" s="46"/>
      <c r="O138" s="43"/>
      <c r="P138" s="55"/>
      <c r="Q138" s="46"/>
      <c r="R138" s="43"/>
      <c r="S138" s="55"/>
      <c r="T138" s="55"/>
      <c r="U138" s="46"/>
      <c r="V138" s="101">
        <f t="shared" si="11"/>
        <v>0</v>
      </c>
    </row>
    <row r="139" spans="1:22" s="8" customFormat="1" ht="25.5" x14ac:dyDescent="0.2">
      <c r="A139" s="53" t="s">
        <v>126</v>
      </c>
      <c r="B139" s="43"/>
      <c r="C139" s="43"/>
      <c r="D139" s="43"/>
      <c r="E139" s="43"/>
      <c r="F139" s="43"/>
      <c r="G139" s="44"/>
      <c r="H139" s="45"/>
      <c r="I139" s="58"/>
      <c r="J139" s="46"/>
      <c r="K139" s="43"/>
      <c r="L139" s="45"/>
      <c r="M139" s="58"/>
      <c r="N139" s="46"/>
      <c r="O139" s="43"/>
      <c r="P139" s="55"/>
      <c r="Q139" s="46"/>
      <c r="R139" s="43"/>
      <c r="S139" s="55"/>
      <c r="T139" s="55"/>
      <c r="U139" s="46"/>
      <c r="V139" s="101">
        <f t="shared" si="11"/>
        <v>0</v>
      </c>
    </row>
    <row r="140" spans="1:22" s="8" customFormat="1" ht="38.25" x14ac:dyDescent="0.2">
      <c r="A140" s="53" t="s">
        <v>127</v>
      </c>
      <c r="B140" s="43"/>
      <c r="C140" s="43"/>
      <c r="D140" s="43"/>
      <c r="E140" s="43"/>
      <c r="F140" s="43"/>
      <c r="G140" s="44"/>
      <c r="H140" s="45"/>
      <c r="I140" s="58"/>
      <c r="J140" s="46"/>
      <c r="K140" s="43"/>
      <c r="L140" s="45"/>
      <c r="M140" s="58"/>
      <c r="N140" s="46"/>
      <c r="O140" s="43"/>
      <c r="P140" s="55"/>
      <c r="Q140" s="46"/>
      <c r="R140" s="43"/>
      <c r="S140" s="55"/>
      <c r="T140" s="55"/>
      <c r="U140" s="46"/>
      <c r="V140" s="101">
        <f t="shared" si="11"/>
        <v>0</v>
      </c>
    </row>
    <row r="141" spans="1:22" s="8" customFormat="1" ht="25.5" x14ac:dyDescent="0.2">
      <c r="A141" s="54" t="s">
        <v>128</v>
      </c>
      <c r="B141" s="43"/>
      <c r="C141" s="43"/>
      <c r="D141" s="43"/>
      <c r="E141" s="43"/>
      <c r="F141" s="43"/>
      <c r="G141" s="44"/>
      <c r="H141" s="45"/>
      <c r="I141" s="58"/>
      <c r="J141" s="46"/>
      <c r="K141" s="43"/>
      <c r="L141" s="45"/>
      <c r="M141" s="58"/>
      <c r="N141" s="46"/>
      <c r="O141" s="43"/>
      <c r="P141" s="55"/>
      <c r="Q141" s="46"/>
      <c r="R141" s="43"/>
      <c r="S141" s="55"/>
      <c r="T141" s="55"/>
      <c r="U141" s="46"/>
      <c r="V141" s="101">
        <f t="shared" si="11"/>
        <v>0</v>
      </c>
    </row>
    <row r="142" spans="1:22" s="8" customFormat="1" x14ac:dyDescent="0.2">
      <c r="A142" s="50" t="s">
        <v>129</v>
      </c>
      <c r="B142" s="43"/>
      <c r="C142" s="43"/>
      <c r="D142" s="43">
        <v>0</v>
      </c>
      <c r="E142" s="43"/>
      <c r="F142" s="43"/>
      <c r="G142" s="44"/>
      <c r="H142" s="45"/>
      <c r="I142" s="58"/>
      <c r="J142" s="46"/>
      <c r="K142" s="43"/>
      <c r="L142" s="45"/>
      <c r="M142" s="58"/>
      <c r="N142" s="46"/>
      <c r="O142" s="43"/>
      <c r="P142" s="55"/>
      <c r="Q142" s="46"/>
      <c r="R142" s="43"/>
      <c r="S142" s="55"/>
      <c r="T142" s="55"/>
      <c r="U142" s="46"/>
      <c r="V142" s="101">
        <f t="shared" si="11"/>
        <v>0</v>
      </c>
    </row>
    <row r="143" spans="1:22" s="8" customFormat="1" x14ac:dyDescent="0.2">
      <c r="A143" s="50" t="s">
        <v>130</v>
      </c>
      <c r="B143" s="43"/>
      <c r="C143" s="43"/>
      <c r="D143" s="43">
        <v>24827.701499999999</v>
      </c>
      <c r="E143" s="43">
        <v>24827.701499999999</v>
      </c>
      <c r="F143" s="43"/>
      <c r="G143" s="44"/>
      <c r="H143" s="45"/>
      <c r="I143" s="58"/>
      <c r="J143" s="46"/>
      <c r="K143" s="43"/>
      <c r="L143" s="45"/>
      <c r="M143" s="58"/>
      <c r="N143" s="46"/>
      <c r="O143" s="43"/>
      <c r="P143" s="55"/>
      <c r="Q143" s="46"/>
      <c r="R143" s="43"/>
      <c r="S143" s="55"/>
      <c r="T143" s="55"/>
      <c r="U143" s="46"/>
      <c r="V143" s="101">
        <f t="shared" si="11"/>
        <v>0</v>
      </c>
    </row>
    <row r="144" spans="1:22" s="8" customFormat="1" x14ac:dyDescent="0.2">
      <c r="A144" s="50" t="s">
        <v>131</v>
      </c>
      <c r="B144" s="43"/>
      <c r="C144" s="43"/>
      <c r="D144" s="43">
        <v>27000</v>
      </c>
      <c r="E144" s="43"/>
      <c r="F144" s="43"/>
      <c r="G144" s="44"/>
      <c r="H144" s="45"/>
      <c r="I144" s="58"/>
      <c r="J144" s="46">
        <v>27000</v>
      </c>
      <c r="K144" s="43"/>
      <c r="L144" s="45"/>
      <c r="M144" s="58"/>
      <c r="N144" s="46"/>
      <c r="O144" s="43"/>
      <c r="P144" s="55"/>
      <c r="Q144" s="46"/>
      <c r="R144" s="43"/>
      <c r="S144" s="55"/>
      <c r="T144" s="55"/>
      <c r="U144" s="46"/>
      <c r="V144" s="101">
        <f t="shared" si="11"/>
        <v>0</v>
      </c>
    </row>
    <row r="145" spans="1:22" s="8" customFormat="1" x14ac:dyDescent="0.2">
      <c r="A145" s="50" t="s">
        <v>132</v>
      </c>
      <c r="B145" s="43"/>
      <c r="C145" s="43">
        <v>24350.584500000001</v>
      </c>
      <c r="D145" s="43">
        <v>0</v>
      </c>
      <c r="E145" s="43">
        <v>24350.584500000001</v>
      </c>
      <c r="F145" s="43"/>
      <c r="G145" s="44"/>
      <c r="H145" s="45"/>
      <c r="I145" s="58"/>
      <c r="J145" s="46"/>
      <c r="K145" s="43"/>
      <c r="L145" s="45"/>
      <c r="M145" s="58"/>
      <c r="N145" s="46"/>
      <c r="O145" s="43"/>
      <c r="P145" s="55"/>
      <c r="Q145" s="46"/>
      <c r="R145" s="43"/>
      <c r="S145" s="55"/>
      <c r="T145" s="55"/>
      <c r="U145" s="46"/>
      <c r="V145" s="101">
        <f t="shared" si="11"/>
        <v>0</v>
      </c>
    </row>
    <row r="146" spans="1:22" s="8" customFormat="1" x14ac:dyDescent="0.2">
      <c r="A146" s="50" t="s">
        <v>133</v>
      </c>
      <c r="B146" s="43"/>
      <c r="C146" s="43"/>
      <c r="D146" s="43">
        <v>10219.720499999999</v>
      </c>
      <c r="E146" s="43"/>
      <c r="F146" s="43"/>
      <c r="G146" s="44"/>
      <c r="H146" s="45"/>
      <c r="I146" s="58"/>
      <c r="J146" s="46">
        <v>10351</v>
      </c>
      <c r="K146" s="43"/>
      <c r="L146" s="45"/>
      <c r="M146" s="58"/>
      <c r="N146" s="46"/>
      <c r="O146" s="43"/>
      <c r="P146" s="55"/>
      <c r="Q146" s="46"/>
      <c r="R146" s="43"/>
      <c r="S146" s="55"/>
      <c r="T146" s="55"/>
      <c r="U146" s="46"/>
      <c r="V146" s="101">
        <f t="shared" si="11"/>
        <v>-131.27950000000055</v>
      </c>
    </row>
    <row r="147" spans="1:22" s="8" customFormat="1" x14ac:dyDescent="0.2">
      <c r="A147" s="50" t="s">
        <v>134</v>
      </c>
      <c r="B147" s="43"/>
      <c r="C147" s="43"/>
      <c r="D147" s="43">
        <v>0</v>
      </c>
      <c r="E147" s="43"/>
      <c r="F147" s="43"/>
      <c r="G147" s="44"/>
      <c r="H147" s="45"/>
      <c r="I147" s="58">
        <v>20169</v>
      </c>
      <c r="J147" s="46">
        <v>20169</v>
      </c>
      <c r="K147" s="43"/>
      <c r="L147" s="45"/>
      <c r="M147" s="58"/>
      <c r="N147" s="46"/>
      <c r="O147" s="43"/>
      <c r="P147" s="55"/>
      <c r="Q147" s="46"/>
      <c r="R147" s="43"/>
      <c r="S147" s="55"/>
      <c r="T147" s="55"/>
      <c r="U147" s="46"/>
      <c r="V147" s="101">
        <f t="shared" si="11"/>
        <v>0</v>
      </c>
    </row>
    <row r="148" spans="1:22" s="8" customFormat="1" ht="38.25" x14ac:dyDescent="0.2">
      <c r="A148" s="54" t="s">
        <v>135</v>
      </c>
      <c r="B148" s="43"/>
      <c r="C148" s="43"/>
      <c r="D148" s="43"/>
      <c r="E148" s="43"/>
      <c r="F148" s="43"/>
      <c r="G148" s="44"/>
      <c r="H148" s="45"/>
      <c r="I148" s="58"/>
      <c r="J148" s="46"/>
      <c r="K148" s="43"/>
      <c r="L148" s="45"/>
      <c r="M148" s="58"/>
      <c r="N148" s="46"/>
      <c r="O148" s="43"/>
      <c r="P148" s="55"/>
      <c r="Q148" s="46"/>
      <c r="R148" s="43"/>
      <c r="S148" s="55"/>
      <c r="T148" s="55"/>
      <c r="U148" s="46"/>
      <c r="V148" s="101">
        <f t="shared" si="11"/>
        <v>0</v>
      </c>
    </row>
    <row r="149" spans="1:22" s="8" customFormat="1" x14ac:dyDescent="0.2">
      <c r="A149" s="50" t="s">
        <v>130</v>
      </c>
      <c r="B149" s="43"/>
      <c r="C149" s="43"/>
      <c r="D149" s="43">
        <v>2471.8014000000003</v>
      </c>
      <c r="E149" s="43"/>
      <c r="F149" s="43"/>
      <c r="G149" s="44"/>
      <c r="H149" s="45"/>
      <c r="I149" s="58">
        <v>5194.21</v>
      </c>
      <c r="J149" s="46">
        <v>7666</v>
      </c>
      <c r="K149" s="43"/>
      <c r="L149" s="45"/>
      <c r="M149" s="58"/>
      <c r="N149" s="46"/>
      <c r="O149" s="43"/>
      <c r="P149" s="55"/>
      <c r="Q149" s="46"/>
      <c r="R149" s="43"/>
      <c r="S149" s="55"/>
      <c r="T149" s="55"/>
      <c r="U149" s="46"/>
      <c r="V149" s="101">
        <f t="shared" si="11"/>
        <v>1.1400000000321597E-2</v>
      </c>
    </row>
    <row r="150" spans="1:22" s="8" customFormat="1" x14ac:dyDescent="0.2">
      <c r="A150" s="50" t="s">
        <v>131</v>
      </c>
      <c r="B150" s="43"/>
      <c r="C150" s="43"/>
      <c r="D150" s="43">
        <v>5671.7503100000004</v>
      </c>
      <c r="E150" s="43"/>
      <c r="F150" s="43"/>
      <c r="G150" s="44"/>
      <c r="H150" s="45"/>
      <c r="I150" s="58">
        <v>5562.25</v>
      </c>
      <c r="J150" s="46">
        <v>11234</v>
      </c>
      <c r="K150" s="43"/>
      <c r="L150" s="45"/>
      <c r="M150" s="58"/>
      <c r="N150" s="46"/>
      <c r="O150" s="43"/>
      <c r="P150" s="55"/>
      <c r="Q150" s="46"/>
      <c r="R150" s="43"/>
      <c r="S150" s="55"/>
      <c r="T150" s="55"/>
      <c r="U150" s="46"/>
      <c r="V150" s="101">
        <f t="shared" si="11"/>
        <v>3.0999999944469891E-4</v>
      </c>
    </row>
    <row r="151" spans="1:22" s="8" customFormat="1" x14ac:dyDescent="0.2">
      <c r="A151" s="50" t="s">
        <v>132</v>
      </c>
      <c r="B151" s="43"/>
      <c r="C151" s="43"/>
      <c r="D151" s="43">
        <v>6694.4742200000001</v>
      </c>
      <c r="E151" s="43">
        <v>1111.8689999999999</v>
      </c>
      <c r="F151" s="43"/>
      <c r="G151" s="44"/>
      <c r="H151" s="45"/>
      <c r="I151" s="58">
        <v>3739.5</v>
      </c>
      <c r="J151" s="46">
        <v>9432</v>
      </c>
      <c r="K151" s="43"/>
      <c r="L151" s="45"/>
      <c r="M151" s="58"/>
      <c r="N151" s="46"/>
      <c r="O151" s="43"/>
      <c r="P151" s="55"/>
      <c r="Q151" s="46"/>
      <c r="R151" s="43"/>
      <c r="S151" s="55"/>
      <c r="T151" s="55"/>
      <c r="U151" s="46"/>
      <c r="V151" s="101">
        <f t="shared" si="11"/>
        <v>-109.89478000000054</v>
      </c>
    </row>
    <row r="152" spans="1:22" s="8" customFormat="1" x14ac:dyDescent="0.2">
      <c r="A152" s="50" t="s">
        <v>133</v>
      </c>
      <c r="B152" s="43"/>
      <c r="C152" s="43"/>
      <c r="D152" s="43">
        <v>59.442999999999998</v>
      </c>
      <c r="E152" s="43"/>
      <c r="F152" s="43"/>
      <c r="G152" s="44"/>
      <c r="H152" s="45"/>
      <c r="I152" s="58">
        <v>8361.56</v>
      </c>
      <c r="J152" s="46">
        <v>8421</v>
      </c>
      <c r="K152" s="43"/>
      <c r="L152" s="45"/>
      <c r="M152" s="58"/>
      <c r="N152" s="46"/>
      <c r="O152" s="43"/>
      <c r="P152" s="55"/>
      <c r="Q152" s="46"/>
      <c r="R152" s="43"/>
      <c r="S152" s="55"/>
      <c r="T152" s="55"/>
      <c r="U152" s="46"/>
      <c r="V152" s="101">
        <f t="shared" si="11"/>
        <v>2.999999998792191E-3</v>
      </c>
    </row>
    <row r="153" spans="1:22" s="8" customFormat="1" x14ac:dyDescent="0.2">
      <c r="A153" s="50" t="s">
        <v>134</v>
      </c>
      <c r="B153" s="43"/>
      <c r="C153" s="43"/>
      <c r="D153" s="43">
        <v>0</v>
      </c>
      <c r="E153" s="43"/>
      <c r="F153" s="43"/>
      <c r="G153" s="44"/>
      <c r="H153" s="45"/>
      <c r="I153" s="58">
        <v>9873</v>
      </c>
      <c r="J153" s="46">
        <v>9873</v>
      </c>
      <c r="K153" s="43"/>
      <c r="L153" s="45"/>
      <c r="M153" s="58"/>
      <c r="N153" s="46"/>
      <c r="O153" s="43"/>
      <c r="P153" s="55"/>
      <c r="Q153" s="46"/>
      <c r="R153" s="43"/>
      <c r="S153" s="55"/>
      <c r="T153" s="55"/>
      <c r="U153" s="46"/>
      <c r="V153" s="101">
        <f t="shared" si="11"/>
        <v>0</v>
      </c>
    </row>
    <row r="154" spans="1:22" s="8" customFormat="1" ht="25.5" x14ac:dyDescent="0.2">
      <c r="A154" s="53" t="s">
        <v>136</v>
      </c>
      <c r="B154" s="43"/>
      <c r="C154" s="43"/>
      <c r="D154" s="43">
        <v>13583.414140000001</v>
      </c>
      <c r="E154" s="43"/>
      <c r="F154" s="43"/>
      <c r="G154" s="44"/>
      <c r="H154" s="45"/>
      <c r="I154" s="58">
        <f>3516.58-3516.58</f>
        <v>0</v>
      </c>
      <c r="J154" s="46">
        <f>17100-3516.58</f>
        <v>13583.42</v>
      </c>
      <c r="K154" s="43"/>
      <c r="L154" s="45"/>
      <c r="M154" s="58"/>
      <c r="N154" s="46"/>
      <c r="O154" s="43"/>
      <c r="P154" s="55"/>
      <c r="Q154" s="46"/>
      <c r="R154" s="43"/>
      <c r="S154" s="55"/>
      <c r="T154" s="55"/>
      <c r="U154" s="46"/>
      <c r="V154" s="101">
        <f t="shared" si="11"/>
        <v>-5.8599999993020901E-3</v>
      </c>
    </row>
    <row r="155" spans="1:22" s="8" customFormat="1" ht="25.5" x14ac:dyDescent="0.2">
      <c r="A155" s="53" t="s">
        <v>153</v>
      </c>
      <c r="B155" s="43"/>
      <c r="C155" s="43"/>
      <c r="D155" s="43"/>
      <c r="E155" s="43"/>
      <c r="F155" s="43"/>
      <c r="G155" s="44"/>
      <c r="H155" s="45"/>
      <c r="I155" s="58">
        <v>5053.58</v>
      </c>
      <c r="J155" s="46"/>
      <c r="K155" s="43"/>
      <c r="L155" s="45"/>
      <c r="M155" s="58"/>
      <c r="N155" s="58">
        <v>5053.5730000000003</v>
      </c>
      <c r="O155" s="43"/>
      <c r="P155" s="55"/>
      <c r="Q155" s="46"/>
      <c r="R155" s="43"/>
      <c r="S155" s="55"/>
      <c r="T155" s="55"/>
      <c r="U155" s="46"/>
      <c r="V155" s="101">
        <f t="shared" si="11"/>
        <v>6.9999999996070983E-3</v>
      </c>
    </row>
    <row r="156" spans="1:22" s="8" customFormat="1" ht="25.5" x14ac:dyDescent="0.2">
      <c r="A156" s="53" t="s">
        <v>154</v>
      </c>
      <c r="B156" s="43"/>
      <c r="C156" s="43"/>
      <c r="D156" s="43"/>
      <c r="E156" s="43"/>
      <c r="F156" s="43"/>
      <c r="G156" s="44"/>
      <c r="H156" s="45"/>
      <c r="I156" s="58">
        <v>5071.6099999999997</v>
      </c>
      <c r="J156" s="46"/>
      <c r="K156" s="43"/>
      <c r="L156" s="45"/>
      <c r="M156" s="58"/>
      <c r="N156" s="58">
        <v>5071.6019999999999</v>
      </c>
      <c r="O156" s="43"/>
      <c r="P156" s="55"/>
      <c r="Q156" s="46"/>
      <c r="R156" s="43"/>
      <c r="S156" s="55"/>
      <c r="T156" s="55"/>
      <c r="U156" s="46"/>
      <c r="V156" s="101">
        <f t="shared" si="11"/>
        <v>7.9999999998108251E-3</v>
      </c>
    </row>
    <row r="157" spans="1:22" s="8" customFormat="1" ht="38.25" x14ac:dyDescent="0.2">
      <c r="A157" s="119" t="s">
        <v>198</v>
      </c>
      <c r="B157" s="43"/>
      <c r="C157" s="43"/>
      <c r="D157" s="43"/>
      <c r="E157" s="43"/>
      <c r="F157" s="43"/>
      <c r="G157" s="44"/>
      <c r="H157" s="45"/>
      <c r="I157" s="58"/>
      <c r="J157" s="46"/>
      <c r="K157" s="43"/>
      <c r="L157" s="45">
        <v>18821</v>
      </c>
      <c r="M157" s="58"/>
      <c r="N157" s="58"/>
      <c r="O157" s="43"/>
      <c r="P157" s="55"/>
      <c r="Q157" s="58"/>
      <c r="R157" s="43"/>
      <c r="S157" s="55"/>
      <c r="T157" s="55"/>
      <c r="U157" s="46"/>
      <c r="V157" s="101"/>
    </row>
    <row r="158" spans="1:22" s="8" customFormat="1" ht="38.25" x14ac:dyDescent="0.2">
      <c r="A158" s="119" t="s">
        <v>199</v>
      </c>
      <c r="B158" s="43"/>
      <c r="C158" s="43"/>
      <c r="D158" s="43"/>
      <c r="E158" s="43"/>
      <c r="F158" s="43"/>
      <c r="G158" s="44"/>
      <c r="H158" s="45"/>
      <c r="I158" s="58"/>
      <c r="J158" s="46"/>
      <c r="K158" s="43"/>
      <c r="L158" s="45">
        <v>14319</v>
      </c>
      <c r="M158" s="58"/>
      <c r="N158" s="58"/>
      <c r="O158" s="43"/>
      <c r="P158" s="55"/>
      <c r="Q158" s="58"/>
      <c r="R158" s="43"/>
      <c r="S158" s="55"/>
      <c r="T158" s="55"/>
      <c r="U158" s="46"/>
      <c r="V158" s="101"/>
    </row>
    <row r="159" spans="1:22" s="8" customFormat="1" ht="25.5" x14ac:dyDescent="0.2">
      <c r="A159" s="119" t="s">
        <v>200</v>
      </c>
      <c r="B159" s="43"/>
      <c r="C159" s="43"/>
      <c r="D159" s="43"/>
      <c r="E159" s="43"/>
      <c r="F159" s="43"/>
      <c r="G159" s="44"/>
      <c r="H159" s="45"/>
      <c r="I159" s="58"/>
      <c r="J159" s="46"/>
      <c r="K159" s="43"/>
      <c r="L159" s="45">
        <v>7079</v>
      </c>
      <c r="M159" s="58"/>
      <c r="N159" s="58"/>
      <c r="O159" s="43"/>
      <c r="P159" s="55"/>
      <c r="Q159" s="58"/>
      <c r="R159" s="43"/>
      <c r="S159" s="55"/>
      <c r="T159" s="55"/>
      <c r="U159" s="46"/>
      <c r="V159" s="101"/>
    </row>
    <row r="160" spans="1:22" s="8" customFormat="1" ht="42.75" customHeight="1" x14ac:dyDescent="0.2">
      <c r="A160" s="100" t="s">
        <v>162</v>
      </c>
      <c r="B160" s="43"/>
      <c r="C160" s="43"/>
      <c r="D160" s="43"/>
      <c r="E160" s="43"/>
      <c r="F160" s="43"/>
      <c r="G160" s="44"/>
      <c r="H160" s="45"/>
      <c r="I160" s="58"/>
      <c r="J160" s="46"/>
      <c r="K160" s="43"/>
      <c r="L160" s="45">
        <v>2898</v>
      </c>
      <c r="M160" s="96">
        <v>2307.08</v>
      </c>
      <c r="N160" s="58"/>
      <c r="O160" s="43"/>
      <c r="P160" s="55"/>
      <c r="Q160" s="96">
        <v>2307.08</v>
      </c>
      <c r="R160" s="43"/>
      <c r="S160" s="55"/>
      <c r="T160" s="55"/>
      <c r="U160" s="46"/>
      <c r="V160" s="101">
        <f>C160+D160+I160+M160+P160+T160-E160-J160-N160-Q160-U160</f>
        <v>0</v>
      </c>
    </row>
    <row r="161" spans="1:22" s="8" customFormat="1" ht="42.75" customHeight="1" x14ac:dyDescent="0.2">
      <c r="A161" s="100" t="s">
        <v>163</v>
      </c>
      <c r="B161" s="43"/>
      <c r="C161" s="43"/>
      <c r="D161" s="43"/>
      <c r="E161" s="43"/>
      <c r="F161" s="43"/>
      <c r="G161" s="44"/>
      <c r="H161" s="45"/>
      <c r="I161" s="58"/>
      <c r="J161" s="46"/>
      <c r="K161" s="43"/>
      <c r="L161" s="45">
        <v>19624</v>
      </c>
      <c r="M161" s="96">
        <v>19490.73</v>
      </c>
      <c r="N161" s="58"/>
      <c r="O161" s="43"/>
      <c r="P161" s="55"/>
      <c r="Q161" s="96">
        <v>19490.73</v>
      </c>
      <c r="R161" s="43"/>
      <c r="S161" s="55"/>
      <c r="T161" s="55"/>
      <c r="U161" s="46"/>
      <c r="V161" s="101">
        <f>C161+D161+I161+M161+P161+T161-E161-J161-N161-Q161-U161</f>
        <v>0</v>
      </c>
    </row>
    <row r="162" spans="1:22" s="8" customFormat="1" ht="42.75" customHeight="1" x14ac:dyDescent="0.2">
      <c r="A162" s="100" t="s">
        <v>164</v>
      </c>
      <c r="B162" s="43"/>
      <c r="C162" s="43"/>
      <c r="D162" s="43"/>
      <c r="E162" s="43"/>
      <c r="F162" s="43"/>
      <c r="G162" s="44"/>
      <c r="H162" s="45"/>
      <c r="I162" s="58"/>
      <c r="J162" s="46"/>
      <c r="K162" s="43"/>
      <c r="L162" s="45">
        <v>7371</v>
      </c>
      <c r="M162" s="96">
        <v>3969.08</v>
      </c>
      <c r="N162" s="58"/>
      <c r="O162" s="43"/>
      <c r="P162" s="55"/>
      <c r="Q162" s="96">
        <v>3969.08</v>
      </c>
      <c r="R162" s="43"/>
      <c r="S162" s="55"/>
      <c r="T162" s="55"/>
      <c r="U162" s="46"/>
      <c r="V162" s="101">
        <f>C162+D162+I162+M162+P162+T162-E162-J162-N162-Q162-U162</f>
        <v>0</v>
      </c>
    </row>
    <row r="163" spans="1:22" s="8" customFormat="1" x14ac:dyDescent="0.2">
      <c r="A163" s="17" t="s">
        <v>138</v>
      </c>
      <c r="B163" s="25">
        <f t="shared" ref="B163:U163" si="12">SUM(B129:B162)</f>
        <v>0</v>
      </c>
      <c r="C163" s="25">
        <f t="shared" si="12"/>
        <v>24350.584500000001</v>
      </c>
      <c r="D163" s="25">
        <f t="shared" si="12"/>
        <v>148609.02007999999</v>
      </c>
      <c r="E163" s="25">
        <f t="shared" si="12"/>
        <v>50290.154999999999</v>
      </c>
      <c r="F163" s="25">
        <f t="shared" si="12"/>
        <v>0</v>
      </c>
      <c r="G163" s="25">
        <f t="shared" si="12"/>
        <v>0</v>
      </c>
      <c r="H163" s="25">
        <f t="shared" si="12"/>
        <v>0</v>
      </c>
      <c r="I163" s="25">
        <f t="shared" si="12"/>
        <v>121634.25000000001</v>
      </c>
      <c r="J163" s="25">
        <f t="shared" si="12"/>
        <v>183036.73</v>
      </c>
      <c r="K163" s="25">
        <f t="shared" si="12"/>
        <v>0</v>
      </c>
      <c r="L163" s="25">
        <f t="shared" si="12"/>
        <v>70112</v>
      </c>
      <c r="M163" s="25">
        <f t="shared" si="12"/>
        <v>25766.89</v>
      </c>
      <c r="N163" s="25">
        <f t="shared" si="12"/>
        <v>62662.595000000001</v>
      </c>
      <c r="O163" s="25">
        <f t="shared" si="12"/>
        <v>0</v>
      </c>
      <c r="P163" s="25">
        <f t="shared" si="12"/>
        <v>0</v>
      </c>
      <c r="Q163" s="25">
        <f t="shared" si="12"/>
        <v>25766.89</v>
      </c>
      <c r="R163" s="25">
        <f t="shared" si="12"/>
        <v>0</v>
      </c>
      <c r="S163" s="25">
        <f t="shared" si="12"/>
        <v>0</v>
      </c>
      <c r="T163" s="25">
        <f t="shared" si="12"/>
        <v>0</v>
      </c>
      <c r="U163" s="25">
        <f t="shared" si="12"/>
        <v>0</v>
      </c>
      <c r="V163" s="101">
        <f>C163+D163+I163+M163+P163+T163-E163-J163-N163-Q163-U163</f>
        <v>-1395.6254199999821</v>
      </c>
    </row>
    <row r="164" spans="1:22" s="8" customFormat="1" x14ac:dyDescent="0.2">
      <c r="A164" s="2"/>
      <c r="B164" s="29"/>
      <c r="C164" s="29"/>
      <c r="D164" s="29"/>
      <c r="E164" s="29"/>
      <c r="F164" s="29"/>
      <c r="G164" s="3"/>
      <c r="H164" s="3"/>
      <c r="I164" s="3"/>
      <c r="J164" s="64"/>
      <c r="K164" s="29"/>
      <c r="L164" s="3"/>
      <c r="M164" s="3"/>
      <c r="N164" s="30"/>
      <c r="O164" s="29"/>
      <c r="P164" s="3"/>
      <c r="Q164" s="30"/>
      <c r="R164" s="29"/>
      <c r="S164" s="3"/>
      <c r="T164" s="3"/>
      <c r="U164" s="30"/>
    </row>
    <row r="165" spans="1:22" s="8" customFormat="1" ht="13.5" thickBot="1" x14ac:dyDescent="0.25">
      <c r="A165" s="13" t="s">
        <v>6</v>
      </c>
      <c r="B165" s="48">
        <v>0</v>
      </c>
      <c r="C165" s="48">
        <v>484254.09123000002</v>
      </c>
      <c r="D165" s="48">
        <f t="shared" ref="D165:U165" si="13">SUM(D163,D126,D124,D119,D116,D106,D63,D50,D35)</f>
        <v>460897.52007999999</v>
      </c>
      <c r="E165" s="48">
        <f t="shared" si="13"/>
        <v>382266.45500000002</v>
      </c>
      <c r="F165" s="48">
        <f t="shared" si="13"/>
        <v>199479.2</v>
      </c>
      <c r="G165" s="48">
        <f t="shared" si="13"/>
        <v>1028.5999999999999</v>
      </c>
      <c r="H165" s="48">
        <f t="shared" si="13"/>
        <v>535700.73</v>
      </c>
      <c r="I165" s="48">
        <f t="shared" si="13"/>
        <v>536250.49</v>
      </c>
      <c r="J165" s="48">
        <f t="shared" si="13"/>
        <v>660899.56000000006</v>
      </c>
      <c r="K165" s="48">
        <f t="shared" si="13"/>
        <v>0</v>
      </c>
      <c r="L165" s="48">
        <f t="shared" si="13"/>
        <v>1106784</v>
      </c>
      <c r="M165" s="48">
        <f t="shared" si="13"/>
        <v>1048680.47</v>
      </c>
      <c r="N165" s="48">
        <f t="shared" si="13"/>
        <v>550088.59499999997</v>
      </c>
      <c r="O165" s="48">
        <f t="shared" si="13"/>
        <v>858552</v>
      </c>
      <c r="P165" s="48">
        <f t="shared" si="13"/>
        <v>925796</v>
      </c>
      <c r="Q165" s="48">
        <f t="shared" si="13"/>
        <v>1728839.8900000001</v>
      </c>
      <c r="R165" s="48">
        <f t="shared" si="13"/>
        <v>168710</v>
      </c>
      <c r="S165" s="48">
        <f t="shared" si="13"/>
        <v>0</v>
      </c>
      <c r="T165" s="48">
        <f t="shared" si="13"/>
        <v>12400</v>
      </c>
      <c r="U165" s="48">
        <f t="shared" si="13"/>
        <v>142215</v>
      </c>
    </row>
    <row r="167" spans="1:22" s="14" customFormat="1" x14ac:dyDescent="0.2">
      <c r="A167" s="4"/>
      <c r="B167" s="4">
        <v>2019</v>
      </c>
      <c r="C167" s="4">
        <v>2020</v>
      </c>
      <c r="D167" s="4">
        <v>2021</v>
      </c>
      <c r="E167" s="4">
        <v>2022</v>
      </c>
      <c r="F167" s="4">
        <v>2023</v>
      </c>
      <c r="G167" s="4">
        <v>2024</v>
      </c>
      <c r="H167" s="4" t="s">
        <v>146</v>
      </c>
    </row>
    <row r="168" spans="1:22" s="14" customFormat="1" ht="13.5" thickBot="1" x14ac:dyDescent="0.25">
      <c r="A168" s="76" t="s">
        <v>33</v>
      </c>
      <c r="B168" s="77"/>
      <c r="C168" s="77"/>
      <c r="D168" s="77">
        <f>F165</f>
        <v>199479.2</v>
      </c>
      <c r="E168" s="77"/>
      <c r="F168" s="77"/>
      <c r="G168" s="77"/>
      <c r="H168" s="77">
        <f>SUM(B168:G168)</f>
        <v>199479.2</v>
      </c>
    </row>
    <row r="169" spans="1:22" s="14" customFormat="1" ht="13.5" thickBot="1" x14ac:dyDescent="0.25">
      <c r="A169" s="117" t="s">
        <v>152</v>
      </c>
      <c r="B169" s="114"/>
      <c r="C169" s="114"/>
      <c r="D169" s="114">
        <f>H165</f>
        <v>535700.73</v>
      </c>
      <c r="E169" s="114">
        <f>L165</f>
        <v>1106784</v>
      </c>
      <c r="F169" s="114">
        <f>O165</f>
        <v>858552</v>
      </c>
      <c r="G169" s="114">
        <f>R165</f>
        <v>168710</v>
      </c>
      <c r="H169" s="115">
        <f t="shared" ref="H169:H171" si="14">SUM(B169:G169)</f>
        <v>2669746.73</v>
      </c>
      <c r="I169" s="88">
        <f>H169-3000000</f>
        <v>-330253.27</v>
      </c>
    </row>
    <row r="170" spans="1:22" s="14" customFormat="1" ht="13.5" thickBot="1" x14ac:dyDescent="0.25">
      <c r="A170" s="112"/>
      <c r="B170" s="113"/>
      <c r="C170" s="113"/>
      <c r="D170" s="113"/>
      <c r="E170" s="113"/>
      <c r="F170" s="113"/>
      <c r="G170" s="113"/>
      <c r="H170" s="113"/>
    </row>
    <row r="171" spans="1:22" s="14" customFormat="1" x14ac:dyDescent="0.2">
      <c r="A171" s="78" t="s">
        <v>145</v>
      </c>
      <c r="B171" s="79">
        <f>C165</f>
        <v>484254.09123000002</v>
      </c>
      <c r="C171" s="79">
        <f>D165</f>
        <v>460897.52007999999</v>
      </c>
      <c r="D171" s="79">
        <f>G165+I165</f>
        <v>537279.09</v>
      </c>
      <c r="E171" s="79">
        <f>M165</f>
        <v>1048680.47</v>
      </c>
      <c r="F171" s="79">
        <f>P165</f>
        <v>925796</v>
      </c>
      <c r="G171" s="79">
        <f>T165</f>
        <v>12400</v>
      </c>
      <c r="H171" s="80">
        <f t="shared" si="14"/>
        <v>3469307.1713100001</v>
      </c>
    </row>
    <row r="172" spans="1:22" s="14" customFormat="1" x14ac:dyDescent="0.2">
      <c r="A172" s="81" t="s">
        <v>141</v>
      </c>
      <c r="B172" s="10"/>
      <c r="C172" s="10">
        <f>E165</f>
        <v>382266.45500000002</v>
      </c>
      <c r="D172" s="10">
        <f>J165</f>
        <v>660899.56000000006</v>
      </c>
      <c r="E172" s="10">
        <f>N165</f>
        <v>550088.59499999997</v>
      </c>
      <c r="F172" s="10">
        <f>Q165</f>
        <v>1728839.8900000001</v>
      </c>
      <c r="G172" s="10">
        <f>U165+S127</f>
        <v>142215</v>
      </c>
      <c r="H172" s="82">
        <f>SUM(B172:G172)</f>
        <v>3464309.5</v>
      </c>
      <c r="I172" s="14">
        <f>H171-H172</f>
        <v>4997.6713100001216</v>
      </c>
    </row>
    <row r="173" spans="1:22" s="14" customFormat="1" ht="13.5" thickBot="1" x14ac:dyDescent="0.25">
      <c r="A173" s="118" t="s">
        <v>150</v>
      </c>
      <c r="B173" s="84"/>
      <c r="C173" s="85">
        <f>B171+C171-C172</f>
        <v>562885.15630999999</v>
      </c>
      <c r="D173" s="85">
        <f>C173+D171-D172</f>
        <v>439264.68630999979</v>
      </c>
      <c r="E173" s="85">
        <f>D173+E171-E172</f>
        <v>937856.56130999979</v>
      </c>
      <c r="F173" s="85">
        <f t="shared" ref="F173:G173" si="15">E173+F171-F172</f>
        <v>134812.67130999966</v>
      </c>
      <c r="G173" s="116">
        <f t="shared" si="15"/>
        <v>4997.6713099996559</v>
      </c>
      <c r="H173" s="86"/>
    </row>
    <row r="175" spans="1:22" ht="13.5" thickBot="1" x14ac:dyDescent="0.25">
      <c r="A175" s="4" t="s">
        <v>196</v>
      </c>
    </row>
    <row r="176" spans="1:22" x14ac:dyDescent="0.2">
      <c r="A176" s="78" t="s">
        <v>145</v>
      </c>
      <c r="B176" s="79">
        <v>675307.23774000001</v>
      </c>
      <c r="C176" s="79">
        <v>312288.5</v>
      </c>
      <c r="D176" s="79">
        <f>1028.6+414616.24</f>
        <v>415644.83999999997</v>
      </c>
      <c r="E176" s="79">
        <f>1022914</f>
        <v>1022914</v>
      </c>
      <c r="F176" s="79">
        <f>925796</f>
        <v>925796</v>
      </c>
      <c r="G176" s="79">
        <v>12400</v>
      </c>
      <c r="H176" s="80">
        <f t="shared" ref="H176" si="16">SUM(B176:G176)</f>
        <v>3364350.5777400001</v>
      </c>
    </row>
    <row r="177" spans="1:22" x14ac:dyDescent="0.2">
      <c r="A177" s="81" t="s">
        <v>141</v>
      </c>
      <c r="B177" s="10">
        <v>215403.73100999999</v>
      </c>
      <c r="C177" s="10">
        <v>331976.3</v>
      </c>
      <c r="D177" s="10">
        <f>477862.83</f>
        <v>477862.83</v>
      </c>
      <c r="E177" s="10">
        <f>487426</f>
        <v>487426</v>
      </c>
      <c r="F177" s="10">
        <f>1703073</f>
        <v>1703073</v>
      </c>
      <c r="G177" s="10">
        <v>142215</v>
      </c>
      <c r="H177" s="82">
        <f>SUM(B177:G177)</f>
        <v>3357956.8610100001</v>
      </c>
    </row>
    <row r="178" spans="1:22" ht="13.5" thickBot="1" x14ac:dyDescent="0.25">
      <c r="A178" s="83" t="s">
        <v>150</v>
      </c>
      <c r="B178" s="85">
        <f>B176-B177</f>
        <v>459903.50673000002</v>
      </c>
      <c r="C178" s="85">
        <f>B178+C176-C177</f>
        <v>440215.70673000003</v>
      </c>
      <c r="D178" s="85">
        <f>C178+D176-D177</f>
        <v>377997.71673000004</v>
      </c>
      <c r="E178" s="85">
        <f>D178+E176-E177</f>
        <v>913485.71672999999</v>
      </c>
      <c r="F178" s="85">
        <f t="shared" ref="F178:G178" si="17">E178+F176-F177</f>
        <v>136208.71672999999</v>
      </c>
      <c r="G178" s="85">
        <f t="shared" si="17"/>
        <v>6393.7167299999855</v>
      </c>
      <c r="H178" s="86"/>
    </row>
    <row r="180" spans="1:22" s="14" customFormat="1" ht="13.5" thickBot="1" x14ac:dyDescent="0.25">
      <c r="A180" s="4" t="s">
        <v>197</v>
      </c>
      <c r="V180" s="4"/>
    </row>
    <row r="181" spans="1:22" s="14" customFormat="1" x14ac:dyDescent="0.2">
      <c r="A181" s="78" t="s">
        <v>145</v>
      </c>
      <c r="B181" s="79">
        <v>24350.584500000001</v>
      </c>
      <c r="C181" s="79">
        <v>148609.01999999999</v>
      </c>
      <c r="D181" s="79">
        <f>121634.25</f>
        <v>121634.25</v>
      </c>
      <c r="E181" s="79">
        <f>25766.89</f>
        <v>25766.89</v>
      </c>
      <c r="F181" s="79">
        <v>0</v>
      </c>
      <c r="G181" s="79">
        <v>0</v>
      </c>
      <c r="H181" s="80">
        <f t="shared" ref="H181" si="18">SUM(B181:G181)</f>
        <v>320360.74450000003</v>
      </c>
      <c r="V181" s="4"/>
    </row>
    <row r="182" spans="1:22" s="14" customFormat="1" x14ac:dyDescent="0.2">
      <c r="A182" s="81" t="s">
        <v>141</v>
      </c>
      <c r="B182" s="10">
        <v>0</v>
      </c>
      <c r="C182" s="10">
        <v>50290.16</v>
      </c>
      <c r="D182" s="10">
        <v>183036.73</v>
      </c>
      <c r="E182" s="10">
        <f>62662.6</f>
        <v>62662.6</v>
      </c>
      <c r="F182" s="10">
        <f>25766.89</f>
        <v>25766.89</v>
      </c>
      <c r="G182" s="10">
        <v>0</v>
      </c>
      <c r="H182" s="82">
        <f>SUM(B182:G182)</f>
        <v>321756.38</v>
      </c>
      <c r="V182" s="4"/>
    </row>
    <row r="183" spans="1:22" s="14" customFormat="1" ht="13.5" thickBot="1" x14ac:dyDescent="0.25">
      <c r="A183" s="83" t="s">
        <v>150</v>
      </c>
      <c r="B183" s="84">
        <f>B181-B182</f>
        <v>24350.584500000001</v>
      </c>
      <c r="C183" s="85">
        <f>B183+C181-C182</f>
        <v>122669.44449999998</v>
      </c>
      <c r="D183" s="85">
        <f>C183+D181-D182</f>
        <v>61266.964499999973</v>
      </c>
      <c r="E183" s="85">
        <f>D183+E181-E182</f>
        <v>24371.254499999974</v>
      </c>
      <c r="F183" s="85">
        <f t="shared" ref="F183:G183" si="19">E183+F181-F182</f>
        <v>-1395.6355000000258</v>
      </c>
      <c r="G183" s="85">
        <f t="shared" si="19"/>
        <v>-1395.6355000000258</v>
      </c>
      <c r="H183" s="86"/>
      <c r="V183" s="4"/>
    </row>
  </sheetData>
  <autoFilter ref="A1:U119" xr:uid="{4ABA3BC3-8023-4B4C-A20D-DE4822BA870B}"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5">
    <mergeCell ref="A1:A2"/>
    <mergeCell ref="F1:J1"/>
    <mergeCell ref="K1:N1"/>
    <mergeCell ref="O1:Q1"/>
    <mergeCell ref="R1:U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DD50-C590-45D6-BA5A-E895CF57127A}">
  <sheetPr>
    <tabColor theme="0"/>
  </sheetPr>
  <dimension ref="A1:V185"/>
  <sheetViews>
    <sheetView workbookViewId="0">
      <selection sqref="A1:A2"/>
    </sheetView>
  </sheetViews>
  <sheetFormatPr defaultColWidth="9.140625" defaultRowHeight="12.75" x14ac:dyDescent="0.2"/>
  <cols>
    <col min="1" max="1" width="52.42578125" style="4" customWidth="1"/>
    <col min="2" max="21" width="14.7109375" style="14" customWidth="1"/>
    <col min="22" max="22" width="12.7109375" style="4" customWidth="1"/>
    <col min="23" max="16384" width="9.140625" style="4"/>
  </cols>
  <sheetData>
    <row r="1" spans="1:22" ht="21" customHeight="1" x14ac:dyDescent="0.2">
      <c r="A1" s="372" t="s">
        <v>0</v>
      </c>
      <c r="B1" s="71">
        <v>2018</v>
      </c>
      <c r="C1" s="71" t="s">
        <v>149</v>
      </c>
      <c r="D1" s="71" t="s">
        <v>147</v>
      </c>
      <c r="E1" s="71" t="s">
        <v>148</v>
      </c>
      <c r="F1" s="374" t="s">
        <v>113</v>
      </c>
      <c r="G1" s="368"/>
      <c r="H1" s="368"/>
      <c r="I1" s="368"/>
      <c r="J1" s="375"/>
      <c r="K1" s="367" t="s">
        <v>114</v>
      </c>
      <c r="L1" s="370"/>
      <c r="M1" s="371"/>
      <c r="N1" s="369"/>
      <c r="O1" s="367" t="s">
        <v>115</v>
      </c>
      <c r="P1" s="368"/>
      <c r="Q1" s="369"/>
      <c r="R1" s="367" t="s">
        <v>116</v>
      </c>
      <c r="S1" s="368"/>
      <c r="T1" s="368"/>
      <c r="U1" s="369"/>
    </row>
    <row r="2" spans="1:22" ht="25.5" x14ac:dyDescent="0.2">
      <c r="A2" s="373"/>
      <c r="B2" s="21"/>
      <c r="C2" s="21"/>
      <c r="D2" s="21"/>
      <c r="E2" s="21"/>
      <c r="F2" s="21" t="s">
        <v>143</v>
      </c>
      <c r="G2" s="75" t="s">
        <v>36</v>
      </c>
      <c r="H2" s="5" t="s">
        <v>152</v>
      </c>
      <c r="I2" s="57" t="s">
        <v>139</v>
      </c>
      <c r="J2" s="22" t="s">
        <v>140</v>
      </c>
      <c r="K2" s="21" t="s">
        <v>143</v>
      </c>
      <c r="L2" s="5" t="s">
        <v>152</v>
      </c>
      <c r="M2" s="57" t="s">
        <v>139</v>
      </c>
      <c r="N2" s="22" t="s">
        <v>140</v>
      </c>
      <c r="O2" s="5" t="s">
        <v>152</v>
      </c>
      <c r="P2" s="57" t="s">
        <v>139</v>
      </c>
      <c r="Q2" s="22" t="s">
        <v>140</v>
      </c>
      <c r="R2" s="5" t="s">
        <v>152</v>
      </c>
      <c r="S2" s="75" t="s">
        <v>36</v>
      </c>
      <c r="T2" s="57" t="s">
        <v>139</v>
      </c>
      <c r="U2" s="22" t="s">
        <v>140</v>
      </c>
    </row>
    <row r="3" spans="1:22" s="37" customFormat="1" x14ac:dyDescent="0.2">
      <c r="A3" s="128" t="s">
        <v>94</v>
      </c>
      <c r="B3" s="43"/>
      <c r="C3" s="43"/>
      <c r="D3" s="43"/>
      <c r="E3" s="43"/>
      <c r="F3" s="43"/>
      <c r="G3" s="44"/>
      <c r="H3" s="45"/>
      <c r="I3" s="58">
        <v>43590</v>
      </c>
      <c r="J3" s="46"/>
      <c r="K3" s="43"/>
      <c r="L3" s="45"/>
      <c r="M3" s="45">
        <v>9800</v>
      </c>
      <c r="N3" s="46">
        <v>53390</v>
      </c>
      <c r="O3" s="43"/>
      <c r="P3" s="45"/>
      <c r="Q3" s="46"/>
      <c r="R3" s="43"/>
      <c r="S3" s="55"/>
      <c r="T3" s="55"/>
      <c r="U3" s="46"/>
      <c r="V3" s="101">
        <f>C3+D3+I3+M3+P3+T3-E3-J3-N3-Q3-U3</f>
        <v>0</v>
      </c>
    </row>
    <row r="4" spans="1:22" s="37" customFormat="1" x14ac:dyDescent="0.2">
      <c r="A4" s="122" t="s">
        <v>95</v>
      </c>
      <c r="B4" s="43"/>
      <c r="C4" s="43"/>
      <c r="D4" s="43"/>
      <c r="E4" s="43"/>
      <c r="F4" s="43"/>
      <c r="G4" s="44"/>
      <c r="H4" s="45"/>
      <c r="I4" s="58"/>
      <c r="J4" s="46"/>
      <c r="K4" s="43"/>
      <c r="L4" s="45"/>
      <c r="M4" s="120"/>
      <c r="N4" s="46"/>
      <c r="O4" s="43"/>
      <c r="P4" s="120"/>
      <c r="Q4" s="121"/>
      <c r="R4" s="43"/>
      <c r="S4" s="55"/>
      <c r="T4" s="55"/>
      <c r="U4" s="121"/>
      <c r="V4" s="101">
        <f>C4+D4+I4+M4+P4+T4-E4-J4-N4-Q4-U4</f>
        <v>0</v>
      </c>
    </row>
    <row r="5" spans="1:22" s="37" customFormat="1" ht="25.5" x14ac:dyDescent="0.2">
      <c r="A5" s="128" t="s">
        <v>96</v>
      </c>
      <c r="B5" s="43"/>
      <c r="C5" s="43"/>
      <c r="D5" s="43"/>
      <c r="E5" s="43"/>
      <c r="F5" s="43"/>
      <c r="G5" s="44"/>
      <c r="H5" s="45"/>
      <c r="I5" s="58">
        <v>0</v>
      </c>
      <c r="J5" s="46"/>
      <c r="K5" s="43"/>
      <c r="L5" s="45"/>
      <c r="M5" s="45">
        <v>61600</v>
      </c>
      <c r="N5" s="46">
        <v>0</v>
      </c>
      <c r="O5" s="43"/>
      <c r="P5" s="45"/>
      <c r="Q5" s="46">
        <v>61600</v>
      </c>
      <c r="R5" s="43"/>
      <c r="S5" s="55"/>
      <c r="T5" s="55"/>
      <c r="U5" s="46"/>
      <c r="V5" s="101">
        <f t="shared" ref="V5:V70" si="0">C5+D5+I5+M5+P5+T5-E5-J5-N5-Q5-U5</f>
        <v>0</v>
      </c>
    </row>
    <row r="6" spans="1:22" s="37" customFormat="1" x14ac:dyDescent="0.2">
      <c r="A6" s="128" t="s">
        <v>97</v>
      </c>
      <c r="B6" s="43"/>
      <c r="C6" s="43">
        <v>49967.695000000007</v>
      </c>
      <c r="D6" s="43"/>
      <c r="E6" s="43">
        <v>49812.41</v>
      </c>
      <c r="F6" s="43"/>
      <c r="G6" s="44"/>
      <c r="H6" s="45"/>
      <c r="I6" s="58"/>
      <c r="J6" s="46"/>
      <c r="K6" s="43"/>
      <c r="L6" s="45"/>
      <c r="M6" s="45"/>
      <c r="N6" s="46"/>
      <c r="O6" s="43"/>
      <c r="P6" s="45"/>
      <c r="Q6" s="46"/>
      <c r="R6" s="43"/>
      <c r="S6" s="55"/>
      <c r="T6" s="55"/>
      <c r="U6" s="46"/>
      <c r="V6" s="101">
        <f t="shared" si="0"/>
        <v>155.28500000000349</v>
      </c>
    </row>
    <row r="7" spans="1:22" s="37" customFormat="1" x14ac:dyDescent="0.2">
      <c r="A7" s="128" t="s">
        <v>37</v>
      </c>
      <c r="B7" s="43"/>
      <c r="C7" s="43"/>
      <c r="D7" s="43">
        <v>26008.13</v>
      </c>
      <c r="E7" s="43"/>
      <c r="F7" s="43"/>
      <c r="G7" s="44"/>
      <c r="H7" s="45"/>
      <c r="I7" s="58"/>
      <c r="J7" s="46">
        <v>25956.75</v>
      </c>
      <c r="K7" s="43"/>
      <c r="L7" s="45"/>
      <c r="M7" s="45"/>
      <c r="N7" s="46"/>
      <c r="O7" s="43"/>
      <c r="P7" s="45"/>
      <c r="Q7" s="46"/>
      <c r="R7" s="43"/>
      <c r="S7" s="55"/>
      <c r="T7" s="55"/>
      <c r="U7" s="46"/>
      <c r="V7" s="101">
        <f t="shared" si="0"/>
        <v>51.380000000001019</v>
      </c>
    </row>
    <row r="8" spans="1:22" s="37" customFormat="1" x14ac:dyDescent="0.2">
      <c r="A8" s="128" t="s">
        <v>39</v>
      </c>
      <c r="B8" s="43"/>
      <c r="C8" s="43">
        <v>28740.21488</v>
      </c>
      <c r="D8" s="43"/>
      <c r="E8" s="43">
        <v>28692.21</v>
      </c>
      <c r="F8" s="43"/>
      <c r="G8" s="44"/>
      <c r="H8" s="45"/>
      <c r="I8" s="58"/>
      <c r="J8" s="46"/>
      <c r="K8" s="43"/>
      <c r="L8" s="45"/>
      <c r="M8" s="45"/>
      <c r="N8" s="46"/>
      <c r="O8" s="43"/>
      <c r="P8" s="45"/>
      <c r="Q8" s="46"/>
      <c r="R8" s="43"/>
      <c r="S8" s="55"/>
      <c r="T8" s="55"/>
      <c r="U8" s="46"/>
      <c r="V8" s="101">
        <f t="shared" si="0"/>
        <v>48.004880000000412</v>
      </c>
    </row>
    <row r="9" spans="1:22" s="37" customFormat="1" x14ac:dyDescent="0.2">
      <c r="A9" s="128" t="s">
        <v>142</v>
      </c>
      <c r="B9" s="43"/>
      <c r="C9" s="43">
        <v>92990.592149999997</v>
      </c>
      <c r="D9" s="43">
        <v>35376.769999999997</v>
      </c>
      <c r="E9" s="43"/>
      <c r="F9" s="43"/>
      <c r="G9" s="44"/>
      <c r="H9" s="45"/>
      <c r="I9" s="58"/>
      <c r="J9" s="46">
        <v>128368</v>
      </c>
      <c r="K9" s="43"/>
      <c r="L9" s="45"/>
      <c r="M9" s="45"/>
      <c r="N9" s="46"/>
      <c r="O9" s="43"/>
      <c r="P9" s="45"/>
      <c r="Q9" s="46"/>
      <c r="R9" s="43"/>
      <c r="S9" s="55"/>
      <c r="T9" s="55"/>
      <c r="U9" s="46"/>
      <c r="V9" s="101">
        <f t="shared" si="0"/>
        <v>-0.63784999999916181</v>
      </c>
    </row>
    <row r="10" spans="1:22" s="37" customFormat="1" ht="25.5" x14ac:dyDescent="0.2">
      <c r="A10" s="128" t="s">
        <v>38</v>
      </c>
      <c r="B10" s="43"/>
      <c r="C10" s="43">
        <v>31682.355830000008</v>
      </c>
      <c r="D10" s="43">
        <v>33997.089999999997</v>
      </c>
      <c r="E10" s="43"/>
      <c r="F10" s="43"/>
      <c r="G10" s="44"/>
      <c r="H10" s="45"/>
      <c r="I10" s="58"/>
      <c r="J10" s="46">
        <v>65679.45</v>
      </c>
      <c r="K10" s="43"/>
      <c r="L10" s="45"/>
      <c r="M10" s="45"/>
      <c r="N10" s="46"/>
      <c r="O10" s="43"/>
      <c r="P10" s="45"/>
      <c r="Q10" s="46"/>
      <c r="R10" s="43"/>
      <c r="S10" s="55"/>
      <c r="T10" s="55"/>
      <c r="U10" s="46"/>
      <c r="V10" s="101">
        <f t="shared" si="0"/>
        <v>-4.1699999856064096E-3</v>
      </c>
    </row>
    <row r="11" spans="1:22" s="37" customFormat="1" ht="25.5" x14ac:dyDescent="0.2">
      <c r="A11" s="128" t="s">
        <v>40</v>
      </c>
      <c r="B11" s="43"/>
      <c r="C11" s="43">
        <v>61875.870090000004</v>
      </c>
      <c r="D11" s="43">
        <v>20356.8</v>
      </c>
      <c r="E11" s="43">
        <v>82232.67</v>
      </c>
      <c r="F11" s="43"/>
      <c r="G11" s="44"/>
      <c r="H11" s="45"/>
      <c r="I11" s="58"/>
      <c r="J11" s="46"/>
      <c r="K11" s="43"/>
      <c r="L11" s="45"/>
      <c r="M11" s="45"/>
      <c r="N11" s="46"/>
      <c r="O11" s="43"/>
      <c r="P11" s="45"/>
      <c r="Q11" s="46"/>
      <c r="R11" s="43"/>
      <c r="S11" s="55"/>
      <c r="T11" s="55"/>
      <c r="U11" s="46"/>
      <c r="V11" s="101">
        <f t="shared" si="0"/>
        <v>9.0000001364387572E-5</v>
      </c>
    </row>
    <row r="12" spans="1:22" s="37" customFormat="1" ht="25.5" x14ac:dyDescent="0.2">
      <c r="A12" s="128" t="s">
        <v>41</v>
      </c>
      <c r="B12" s="43"/>
      <c r="C12" s="43"/>
      <c r="D12" s="43">
        <v>190.46</v>
      </c>
      <c r="E12" s="43"/>
      <c r="F12" s="43"/>
      <c r="G12" s="44"/>
      <c r="H12" s="45"/>
      <c r="I12" s="58">
        <v>37759.83</v>
      </c>
      <c r="J12" s="46">
        <v>0</v>
      </c>
      <c r="K12" s="43"/>
      <c r="L12" s="45"/>
      <c r="M12" s="45">
        <v>5071</v>
      </c>
      <c r="N12" s="46">
        <v>43022</v>
      </c>
      <c r="O12" s="43"/>
      <c r="P12" s="45"/>
      <c r="Q12" s="46"/>
      <c r="R12" s="43"/>
      <c r="S12" s="55"/>
      <c r="T12" s="55"/>
      <c r="U12" s="46"/>
      <c r="V12" s="101">
        <f t="shared" si="0"/>
        <v>-0.70999999999912689</v>
      </c>
    </row>
    <row r="13" spans="1:22" s="37" customFormat="1" ht="25.5" x14ac:dyDescent="0.2">
      <c r="A13" s="128" t="s">
        <v>43</v>
      </c>
      <c r="B13" s="43"/>
      <c r="C13" s="43"/>
      <c r="D13" s="43"/>
      <c r="E13" s="43"/>
      <c r="F13" s="43"/>
      <c r="G13" s="44"/>
      <c r="H13" s="45"/>
      <c r="I13" s="58">
        <v>44419.3</v>
      </c>
      <c r="J13" s="46"/>
      <c r="K13" s="43"/>
      <c r="L13" s="45"/>
      <c r="M13" s="45">
        <v>28620</v>
      </c>
      <c r="N13" s="46">
        <v>73040</v>
      </c>
      <c r="O13" s="43"/>
      <c r="P13" s="45"/>
      <c r="Q13" s="46"/>
      <c r="R13" s="43"/>
      <c r="S13" s="55"/>
      <c r="T13" s="55"/>
      <c r="U13" s="46"/>
      <c r="V13" s="101">
        <f t="shared" si="0"/>
        <v>-0.69999999999708962</v>
      </c>
    </row>
    <row r="14" spans="1:22" s="37" customFormat="1" ht="25.5" x14ac:dyDescent="0.2">
      <c r="A14" s="128" t="s">
        <v>42</v>
      </c>
      <c r="B14" s="43"/>
      <c r="C14" s="43">
        <v>50463.757810000003</v>
      </c>
      <c r="D14" s="43"/>
      <c r="E14" s="43">
        <v>46106.89</v>
      </c>
      <c r="F14" s="43"/>
      <c r="G14" s="44"/>
      <c r="H14" s="45"/>
      <c r="I14" s="58"/>
      <c r="J14" s="46"/>
      <c r="K14" s="43"/>
      <c r="L14" s="45"/>
      <c r="M14" s="45"/>
      <c r="N14" s="46"/>
      <c r="O14" s="43"/>
      <c r="P14" s="45"/>
      <c r="Q14" s="46"/>
      <c r="R14" s="43"/>
      <c r="S14" s="55"/>
      <c r="T14" s="55"/>
      <c r="U14" s="46"/>
      <c r="V14" s="101">
        <f t="shared" si="0"/>
        <v>4356.8678100000034</v>
      </c>
    </row>
    <row r="15" spans="1:22" s="37" customFormat="1" x14ac:dyDescent="0.2">
      <c r="A15" s="128" t="s">
        <v>195</v>
      </c>
      <c r="B15" s="43"/>
      <c r="C15" s="43">
        <v>12</v>
      </c>
      <c r="D15" s="43"/>
      <c r="E15" s="43"/>
      <c r="F15" s="43"/>
      <c r="G15" s="44"/>
      <c r="H15" s="45"/>
      <c r="I15" s="58"/>
      <c r="J15" s="46"/>
      <c r="K15" s="43"/>
      <c r="L15" s="45"/>
      <c r="M15" s="45"/>
      <c r="N15" s="46"/>
      <c r="O15" s="43"/>
      <c r="P15" s="45"/>
      <c r="Q15" s="46"/>
      <c r="R15" s="43"/>
      <c r="S15" s="55"/>
      <c r="T15" s="55"/>
      <c r="U15" s="46"/>
      <c r="V15" s="101">
        <f t="shared" si="0"/>
        <v>12</v>
      </c>
    </row>
    <row r="16" spans="1:22" s="37" customFormat="1" x14ac:dyDescent="0.2">
      <c r="A16" s="128" t="s">
        <v>44</v>
      </c>
      <c r="B16" s="43"/>
      <c r="C16" s="43"/>
      <c r="D16" s="43"/>
      <c r="E16" s="43"/>
      <c r="F16" s="43"/>
      <c r="G16" s="44"/>
      <c r="H16" s="45"/>
      <c r="I16" s="58">
        <v>38810.980000000003</v>
      </c>
      <c r="J16" s="46">
        <v>38810.980000000003</v>
      </c>
      <c r="K16" s="43"/>
      <c r="L16" s="45"/>
      <c r="M16" s="45"/>
      <c r="N16" s="46"/>
      <c r="O16" s="43"/>
      <c r="P16" s="45"/>
      <c r="Q16" s="46"/>
      <c r="R16" s="43"/>
      <c r="S16" s="55"/>
      <c r="T16" s="55"/>
      <c r="U16" s="46"/>
      <c r="V16" s="101">
        <f t="shared" si="0"/>
        <v>0</v>
      </c>
    </row>
    <row r="17" spans="1:22" s="37" customFormat="1" x14ac:dyDescent="0.2">
      <c r="A17" s="128" t="s">
        <v>45</v>
      </c>
      <c r="B17" s="43"/>
      <c r="C17" s="43"/>
      <c r="D17" s="43">
        <v>27498.560000000001</v>
      </c>
      <c r="E17" s="43"/>
      <c r="F17" s="43"/>
      <c r="G17" s="44"/>
      <c r="H17" s="45"/>
      <c r="I17" s="58">
        <v>1265.94</v>
      </c>
      <c r="J17" s="46">
        <v>28764.5</v>
      </c>
      <c r="K17" s="43"/>
      <c r="L17" s="45"/>
      <c r="M17" s="45"/>
      <c r="N17" s="46"/>
      <c r="O17" s="43"/>
      <c r="P17" s="45"/>
      <c r="Q17" s="46"/>
      <c r="R17" s="43"/>
      <c r="S17" s="55"/>
      <c r="T17" s="55"/>
      <c r="U17" s="46"/>
      <c r="V17" s="101">
        <f t="shared" si="0"/>
        <v>0</v>
      </c>
    </row>
    <row r="18" spans="1:22" s="37" customFormat="1" ht="25.5" x14ac:dyDescent="0.2">
      <c r="A18" s="122" t="s">
        <v>46</v>
      </c>
      <c r="B18" s="43"/>
      <c r="C18" s="43"/>
      <c r="D18" s="43"/>
      <c r="E18" s="43"/>
      <c r="F18" s="43"/>
      <c r="G18" s="44"/>
      <c r="H18" s="45"/>
      <c r="I18" s="58"/>
      <c r="J18" s="46"/>
      <c r="K18" s="43"/>
      <c r="L18" s="45"/>
      <c r="M18" s="45"/>
      <c r="N18" s="46"/>
      <c r="O18" s="43"/>
      <c r="P18" s="120"/>
      <c r="Q18" s="121"/>
      <c r="R18" s="43"/>
      <c r="S18" s="55"/>
      <c r="T18" s="55"/>
      <c r="U18" s="46"/>
      <c r="V18" s="101">
        <f t="shared" si="0"/>
        <v>0</v>
      </c>
    </row>
    <row r="19" spans="1:22" s="37" customFormat="1" x14ac:dyDescent="0.2">
      <c r="A19" s="128" t="s">
        <v>47</v>
      </c>
      <c r="B19" s="43"/>
      <c r="C19" s="43"/>
      <c r="D19" s="43"/>
      <c r="E19" s="43"/>
      <c r="F19" s="43"/>
      <c r="G19" s="44"/>
      <c r="H19" s="45"/>
      <c r="I19" s="58">
        <v>38440.6</v>
      </c>
      <c r="J19" s="46"/>
      <c r="K19" s="43"/>
      <c r="L19" s="45"/>
      <c r="M19" s="45">
        <v>56838</v>
      </c>
      <c r="N19" s="46"/>
      <c r="O19" s="43"/>
      <c r="P19" s="45"/>
      <c r="Q19" s="46">
        <v>95278</v>
      </c>
      <c r="R19" s="43"/>
      <c r="S19" s="55"/>
      <c r="T19" s="55"/>
      <c r="U19" s="46"/>
      <c r="V19" s="101">
        <f t="shared" si="0"/>
        <v>0.60000000000582077</v>
      </c>
    </row>
    <row r="20" spans="1:22" s="37" customFormat="1" x14ac:dyDescent="0.2">
      <c r="A20" s="128" t="s">
        <v>48</v>
      </c>
      <c r="B20" s="43"/>
      <c r="C20" s="43"/>
      <c r="D20" s="43"/>
      <c r="E20" s="43"/>
      <c r="F20" s="43"/>
      <c r="G20" s="44"/>
      <c r="H20" s="45"/>
      <c r="I20" s="58"/>
      <c r="J20" s="46"/>
      <c r="K20" s="43"/>
      <c r="L20" s="45"/>
      <c r="M20" s="45">
        <v>34440</v>
      </c>
      <c r="N20" s="46">
        <v>0</v>
      </c>
      <c r="O20" s="43"/>
      <c r="P20" s="45"/>
      <c r="Q20" s="46">
        <v>34440</v>
      </c>
      <c r="R20" s="43"/>
      <c r="S20" s="55"/>
      <c r="T20" s="55"/>
      <c r="U20" s="46"/>
      <c r="V20" s="101">
        <f t="shared" si="0"/>
        <v>0</v>
      </c>
    </row>
    <row r="21" spans="1:22" s="37" customFormat="1" ht="25.5" x14ac:dyDescent="0.2">
      <c r="A21" s="122" t="s">
        <v>49</v>
      </c>
      <c r="B21" s="43"/>
      <c r="C21" s="43"/>
      <c r="D21" s="43"/>
      <c r="E21" s="43"/>
      <c r="F21" s="43"/>
      <c r="G21" s="44"/>
      <c r="H21" s="45"/>
      <c r="I21" s="58"/>
      <c r="J21" s="46"/>
      <c r="K21" s="43"/>
      <c r="L21" s="45"/>
      <c r="M21" s="45"/>
      <c r="N21" s="46"/>
      <c r="O21" s="43"/>
      <c r="P21" s="120"/>
      <c r="Q21" s="121"/>
      <c r="R21" s="43"/>
      <c r="S21" s="55"/>
      <c r="T21" s="55"/>
      <c r="U21" s="46"/>
      <c r="V21" s="101">
        <f t="shared" si="0"/>
        <v>0</v>
      </c>
    </row>
    <row r="22" spans="1:22" s="37" customFormat="1" ht="38.25" x14ac:dyDescent="0.2">
      <c r="A22" s="122" t="s">
        <v>50</v>
      </c>
      <c r="B22" s="43"/>
      <c r="C22" s="43"/>
      <c r="D22" s="43"/>
      <c r="E22" s="43"/>
      <c r="F22" s="43"/>
      <c r="G22" s="44"/>
      <c r="H22" s="45"/>
      <c r="I22" s="58"/>
      <c r="J22" s="46"/>
      <c r="K22" s="43"/>
      <c r="L22" s="45"/>
      <c r="M22" s="45"/>
      <c r="N22" s="46"/>
      <c r="O22" s="43"/>
      <c r="P22" s="120"/>
      <c r="Q22" s="121"/>
      <c r="R22" s="43"/>
      <c r="S22" s="55"/>
      <c r="T22" s="55"/>
      <c r="U22" s="46"/>
      <c r="V22" s="101">
        <f t="shared" si="0"/>
        <v>0</v>
      </c>
    </row>
    <row r="23" spans="1:22" s="37" customFormat="1" ht="25.5" x14ac:dyDescent="0.2">
      <c r="A23" s="122" t="s">
        <v>51</v>
      </c>
      <c r="B23" s="43"/>
      <c r="C23" s="43"/>
      <c r="D23" s="43"/>
      <c r="E23" s="43"/>
      <c r="F23" s="43"/>
      <c r="G23" s="44"/>
      <c r="H23" s="45"/>
      <c r="I23" s="58"/>
      <c r="J23" s="46"/>
      <c r="K23" s="43"/>
      <c r="L23" s="45"/>
      <c r="M23" s="45"/>
      <c r="N23" s="46"/>
      <c r="O23" s="43"/>
      <c r="P23" s="120"/>
      <c r="Q23" s="121"/>
      <c r="R23" s="43"/>
      <c r="S23" s="55"/>
      <c r="T23" s="55"/>
      <c r="U23" s="46"/>
      <c r="V23" s="101">
        <f t="shared" si="0"/>
        <v>0</v>
      </c>
    </row>
    <row r="24" spans="1:22" s="37" customFormat="1" ht="25.5" x14ac:dyDescent="0.2">
      <c r="A24" s="122" t="s">
        <v>52</v>
      </c>
      <c r="B24" s="43"/>
      <c r="C24" s="43"/>
      <c r="D24" s="43"/>
      <c r="E24" s="43"/>
      <c r="F24" s="43"/>
      <c r="G24" s="44"/>
      <c r="H24" s="45"/>
      <c r="I24" s="58">
        <v>0</v>
      </c>
      <c r="J24" s="46"/>
      <c r="K24" s="43"/>
      <c r="L24" s="45"/>
      <c r="M24" s="45"/>
      <c r="N24" s="46"/>
      <c r="O24" s="43"/>
      <c r="P24" s="120"/>
      <c r="Q24" s="121"/>
      <c r="R24" s="43"/>
      <c r="S24" s="55"/>
      <c r="T24" s="55"/>
      <c r="U24" s="46"/>
      <c r="V24" s="101">
        <f t="shared" si="0"/>
        <v>0</v>
      </c>
    </row>
    <row r="25" spans="1:22" s="37" customFormat="1" ht="25.5" x14ac:dyDescent="0.2">
      <c r="A25" s="122" t="s">
        <v>53</v>
      </c>
      <c r="B25" s="43"/>
      <c r="C25" s="43"/>
      <c r="D25" s="43"/>
      <c r="E25" s="43"/>
      <c r="F25" s="43"/>
      <c r="G25" s="44"/>
      <c r="H25" s="45"/>
      <c r="I25" s="58"/>
      <c r="J25" s="46"/>
      <c r="K25" s="43"/>
      <c r="L25" s="45"/>
      <c r="M25" s="45"/>
      <c r="N25" s="46"/>
      <c r="O25" s="43"/>
      <c r="P25" s="120"/>
      <c r="Q25" s="121"/>
      <c r="R25" s="43"/>
      <c r="S25" s="55"/>
      <c r="T25" s="55"/>
      <c r="U25" s="46"/>
      <c r="V25" s="101">
        <f t="shared" si="0"/>
        <v>0</v>
      </c>
    </row>
    <row r="26" spans="1:22" s="37" customFormat="1" ht="25.5" x14ac:dyDescent="0.2">
      <c r="A26" s="128" t="s">
        <v>54</v>
      </c>
      <c r="B26" s="43"/>
      <c r="C26" s="43"/>
      <c r="D26" s="43"/>
      <c r="E26" s="43"/>
      <c r="F26" s="43"/>
      <c r="G26" s="44"/>
      <c r="H26" s="45"/>
      <c r="I26" s="58"/>
      <c r="J26" s="46"/>
      <c r="K26" s="43"/>
      <c r="L26" s="45"/>
      <c r="M26" s="45">
        <v>109777</v>
      </c>
      <c r="N26" s="46"/>
      <c r="O26" s="43"/>
      <c r="P26" s="45">
        <v>0</v>
      </c>
      <c r="Q26" s="46">
        <v>109778</v>
      </c>
      <c r="R26" s="43"/>
      <c r="S26" s="55"/>
      <c r="T26" s="55"/>
      <c r="U26" s="46"/>
      <c r="V26" s="101">
        <f t="shared" si="0"/>
        <v>-1</v>
      </c>
    </row>
    <row r="27" spans="1:22" s="37" customFormat="1" ht="25.5" x14ac:dyDescent="0.2">
      <c r="A27" s="128" t="s">
        <v>55</v>
      </c>
      <c r="B27" s="43"/>
      <c r="C27" s="43"/>
      <c r="D27" s="43"/>
      <c r="E27" s="43"/>
      <c r="F27" s="43"/>
      <c r="G27" s="44"/>
      <c r="H27" s="45"/>
      <c r="I27" s="58">
        <v>42300</v>
      </c>
      <c r="J27" s="46"/>
      <c r="K27" s="43"/>
      <c r="L27" s="45"/>
      <c r="M27" s="45">
        <v>70091</v>
      </c>
      <c r="N27" s="46"/>
      <c r="O27" s="43"/>
      <c r="P27" s="45"/>
      <c r="Q27" s="46">
        <v>112391</v>
      </c>
      <c r="R27" s="43"/>
      <c r="S27" s="55"/>
      <c r="T27" s="55"/>
      <c r="U27" s="46"/>
      <c r="V27" s="101">
        <f t="shared" si="0"/>
        <v>0</v>
      </c>
    </row>
    <row r="28" spans="1:22" s="37" customFormat="1" ht="25.5" x14ac:dyDescent="0.2">
      <c r="A28" s="122" t="s">
        <v>56</v>
      </c>
      <c r="B28" s="43"/>
      <c r="C28" s="43"/>
      <c r="D28" s="43"/>
      <c r="E28" s="43"/>
      <c r="F28" s="43"/>
      <c r="G28" s="44"/>
      <c r="H28" s="45"/>
      <c r="I28" s="58"/>
      <c r="J28" s="46"/>
      <c r="K28" s="43"/>
      <c r="L28" s="45"/>
      <c r="M28" s="45"/>
      <c r="N28" s="46"/>
      <c r="O28" s="43"/>
      <c r="P28" s="120"/>
      <c r="Q28" s="121"/>
      <c r="R28" s="43"/>
      <c r="S28" s="55"/>
      <c r="T28" s="55"/>
      <c r="U28" s="46"/>
      <c r="V28" s="101">
        <f t="shared" si="0"/>
        <v>0</v>
      </c>
    </row>
    <row r="29" spans="1:22" s="37" customFormat="1" x14ac:dyDescent="0.2">
      <c r="A29" s="128" t="s">
        <v>57</v>
      </c>
      <c r="B29" s="43"/>
      <c r="C29" s="43"/>
      <c r="D29" s="43"/>
      <c r="E29" s="43"/>
      <c r="F29" s="43"/>
      <c r="G29" s="44"/>
      <c r="H29" s="45"/>
      <c r="I29" s="58">
        <v>0</v>
      </c>
      <c r="J29" s="46"/>
      <c r="K29" s="43"/>
      <c r="L29" s="45"/>
      <c r="M29" s="45">
        <v>102513</v>
      </c>
      <c r="N29" s="46"/>
      <c r="O29" s="43"/>
      <c r="P29" s="45">
        <v>0</v>
      </c>
      <c r="Q29" s="46">
        <v>102513</v>
      </c>
      <c r="R29" s="43"/>
      <c r="S29" s="55"/>
      <c r="T29" s="55"/>
      <c r="U29" s="46"/>
      <c r="V29" s="101">
        <f t="shared" si="0"/>
        <v>0</v>
      </c>
    </row>
    <row r="30" spans="1:22" s="37" customFormat="1" x14ac:dyDescent="0.2">
      <c r="A30" s="128" t="s">
        <v>58</v>
      </c>
      <c r="B30" s="43"/>
      <c r="C30" s="43"/>
      <c r="D30" s="43"/>
      <c r="E30" s="43"/>
      <c r="F30" s="43"/>
      <c r="G30" s="44"/>
      <c r="H30" s="45"/>
      <c r="I30" s="58">
        <v>3930</v>
      </c>
      <c r="J30" s="46"/>
      <c r="K30" s="43"/>
      <c r="L30" s="45"/>
      <c r="M30" s="45"/>
      <c r="N30" s="46">
        <v>3930</v>
      </c>
      <c r="O30" s="43"/>
      <c r="P30" s="45"/>
      <c r="Q30" s="46"/>
      <c r="R30" s="43"/>
      <c r="S30" s="55"/>
      <c r="T30" s="55"/>
      <c r="U30" s="46"/>
      <c r="V30" s="101">
        <f t="shared" si="0"/>
        <v>0</v>
      </c>
    </row>
    <row r="31" spans="1:22" s="37" customFormat="1" x14ac:dyDescent="0.2">
      <c r="A31" s="128" t="s">
        <v>59</v>
      </c>
      <c r="B31" s="43"/>
      <c r="C31" s="43"/>
      <c r="D31" s="43"/>
      <c r="E31" s="43"/>
      <c r="F31" s="43"/>
      <c r="G31" s="44"/>
      <c r="H31" s="45"/>
      <c r="I31" s="58">
        <v>3273</v>
      </c>
      <c r="J31" s="46"/>
      <c r="K31" s="43"/>
      <c r="L31" s="45"/>
      <c r="M31" s="45"/>
      <c r="N31" s="46">
        <v>3273</v>
      </c>
      <c r="O31" s="43"/>
      <c r="P31" s="45"/>
      <c r="Q31" s="46"/>
      <c r="R31" s="43"/>
      <c r="S31" s="55"/>
      <c r="T31" s="55"/>
      <c r="U31" s="46"/>
      <c r="V31" s="101">
        <f t="shared" si="0"/>
        <v>0</v>
      </c>
    </row>
    <row r="32" spans="1:22" s="37" customFormat="1" x14ac:dyDescent="0.2">
      <c r="A32" s="128" t="s">
        <v>60</v>
      </c>
      <c r="B32" s="43"/>
      <c r="C32" s="43"/>
      <c r="D32" s="43"/>
      <c r="E32" s="43"/>
      <c r="F32" s="43"/>
      <c r="G32" s="44"/>
      <c r="H32" s="45"/>
      <c r="I32" s="58">
        <v>1667</v>
      </c>
      <c r="J32" s="46"/>
      <c r="K32" s="43"/>
      <c r="L32" s="45"/>
      <c r="M32" s="45"/>
      <c r="N32" s="46">
        <v>1667</v>
      </c>
      <c r="O32" s="43"/>
      <c r="P32" s="45"/>
      <c r="Q32" s="46"/>
      <c r="R32" s="43"/>
      <c r="S32" s="55"/>
      <c r="T32" s="55"/>
      <c r="U32" s="46"/>
      <c r="V32" s="101">
        <f t="shared" si="0"/>
        <v>0</v>
      </c>
    </row>
    <row r="33" spans="1:22" ht="25.5" x14ac:dyDescent="0.2">
      <c r="A33" s="16" t="s">
        <v>26</v>
      </c>
      <c r="B33" s="23"/>
      <c r="C33" s="23"/>
      <c r="D33" s="23"/>
      <c r="E33" s="23"/>
      <c r="F33" s="23"/>
      <c r="G33" s="6"/>
      <c r="H33" s="6">
        <v>807</v>
      </c>
      <c r="I33" s="59"/>
      <c r="J33" s="24"/>
      <c r="K33" s="31"/>
      <c r="L33" s="7">
        <v>130993</v>
      </c>
      <c r="M33" s="7"/>
      <c r="N33" s="32"/>
      <c r="O33" s="23">
        <v>277178</v>
      </c>
      <c r="P33" s="7"/>
      <c r="Q33" s="24"/>
      <c r="R33" s="23"/>
      <c r="S33" s="56"/>
      <c r="T33" s="56"/>
      <c r="U33" s="24"/>
      <c r="V33" s="101">
        <f t="shared" si="0"/>
        <v>0</v>
      </c>
    </row>
    <row r="34" spans="1:22" ht="38.25" x14ac:dyDescent="0.2">
      <c r="A34" s="16" t="s">
        <v>25</v>
      </c>
      <c r="B34" s="23"/>
      <c r="C34" s="23"/>
      <c r="D34" s="23"/>
      <c r="E34" s="23"/>
      <c r="F34" s="23"/>
      <c r="G34" s="6"/>
      <c r="H34" s="6">
        <v>27298</v>
      </c>
      <c r="I34" s="59"/>
      <c r="J34" s="24"/>
      <c r="K34" s="31"/>
      <c r="L34" s="7">
        <v>29993</v>
      </c>
      <c r="M34" s="7"/>
      <c r="N34" s="32"/>
      <c r="O34" s="23">
        <v>64999</v>
      </c>
      <c r="P34" s="7"/>
      <c r="Q34" s="24"/>
      <c r="R34" s="23">
        <v>3710</v>
      </c>
      <c r="S34" s="56"/>
      <c r="T34" s="56"/>
      <c r="U34" s="24"/>
      <c r="V34" s="101">
        <f t="shared" si="0"/>
        <v>0</v>
      </c>
    </row>
    <row r="35" spans="1:22" s="8" customFormat="1" x14ac:dyDescent="0.2">
      <c r="A35" s="17" t="s">
        <v>31</v>
      </c>
      <c r="B35" s="25">
        <f t="shared" ref="B35:R35" si="1">SUM(B3:B34)</f>
        <v>0</v>
      </c>
      <c r="C35" s="25">
        <f t="shared" si="1"/>
        <v>315732.48576000001</v>
      </c>
      <c r="D35" s="25">
        <f t="shared" si="1"/>
        <v>143427.81</v>
      </c>
      <c r="E35" s="25">
        <f t="shared" si="1"/>
        <v>206844.18</v>
      </c>
      <c r="F35" s="25">
        <f t="shared" si="1"/>
        <v>0</v>
      </c>
      <c r="G35" s="1">
        <f t="shared" si="1"/>
        <v>0</v>
      </c>
      <c r="H35" s="1">
        <f t="shared" si="1"/>
        <v>28105</v>
      </c>
      <c r="I35" s="60">
        <f t="shared" si="1"/>
        <v>255456.65000000002</v>
      </c>
      <c r="J35" s="63">
        <f t="shared" si="1"/>
        <v>287579.68000000005</v>
      </c>
      <c r="K35" s="25">
        <f t="shared" si="1"/>
        <v>0</v>
      </c>
      <c r="L35" s="1">
        <f t="shared" si="1"/>
        <v>160986</v>
      </c>
      <c r="M35" s="1">
        <f t="shared" si="1"/>
        <v>478750</v>
      </c>
      <c r="N35" s="26">
        <f t="shared" si="1"/>
        <v>178322</v>
      </c>
      <c r="O35" s="25">
        <f t="shared" si="1"/>
        <v>342177</v>
      </c>
      <c r="P35" s="25">
        <f t="shared" si="1"/>
        <v>0</v>
      </c>
      <c r="Q35" s="26">
        <f t="shared" si="1"/>
        <v>516000</v>
      </c>
      <c r="R35" s="25">
        <f t="shared" si="1"/>
        <v>3710</v>
      </c>
      <c r="S35" s="25"/>
      <c r="T35" s="25">
        <f>SUM(T3:T34)</f>
        <v>0</v>
      </c>
      <c r="U35" s="26">
        <f>SUM(U3:U34)</f>
        <v>0</v>
      </c>
      <c r="V35" s="101">
        <f t="shared" si="0"/>
        <v>4621.0857600000454</v>
      </c>
    </row>
    <row r="36" spans="1:22" s="37" customFormat="1" ht="25.5" x14ac:dyDescent="0.2">
      <c r="A36" s="128" t="s">
        <v>101</v>
      </c>
      <c r="B36" s="43"/>
      <c r="C36" s="43"/>
      <c r="D36" s="43">
        <v>9288.98</v>
      </c>
      <c r="E36" s="43">
        <v>0</v>
      </c>
      <c r="F36" s="43"/>
      <c r="G36" s="44"/>
      <c r="H36" s="45"/>
      <c r="I36" s="58">
        <v>247.28</v>
      </c>
      <c r="J36" s="46">
        <v>8965</v>
      </c>
      <c r="K36" s="43"/>
      <c r="L36" s="45"/>
      <c r="M36" s="45"/>
      <c r="N36" s="46"/>
      <c r="O36" s="43"/>
      <c r="P36" s="55"/>
      <c r="Q36" s="46"/>
      <c r="R36" s="43"/>
      <c r="S36" s="55"/>
      <c r="T36" s="55"/>
      <c r="U36" s="46"/>
      <c r="V36" s="101">
        <f t="shared" si="0"/>
        <v>571.26000000000022</v>
      </c>
    </row>
    <row r="37" spans="1:22" s="37" customFormat="1" x14ac:dyDescent="0.2">
      <c r="A37" s="128" t="s">
        <v>61</v>
      </c>
      <c r="B37" s="43"/>
      <c r="C37" s="43">
        <v>9399.1217199999992</v>
      </c>
      <c r="D37" s="43">
        <v>3466.25</v>
      </c>
      <c r="E37" s="43"/>
      <c r="F37" s="43"/>
      <c r="G37" s="44"/>
      <c r="H37" s="45"/>
      <c r="I37" s="58">
        <v>5582.49</v>
      </c>
      <c r="J37" s="46">
        <v>18447.86</v>
      </c>
      <c r="K37" s="43"/>
      <c r="L37" s="45"/>
      <c r="M37" s="45"/>
      <c r="N37" s="46"/>
      <c r="O37" s="43"/>
      <c r="P37" s="55"/>
      <c r="Q37" s="46"/>
      <c r="R37" s="43"/>
      <c r="S37" s="55"/>
      <c r="T37" s="55"/>
      <c r="U37" s="46"/>
      <c r="V37" s="101">
        <f t="shared" si="0"/>
        <v>1.720000000204891E-3</v>
      </c>
    </row>
    <row r="38" spans="1:22" s="37" customFormat="1" x14ac:dyDescent="0.2">
      <c r="A38" s="128" t="s">
        <v>62</v>
      </c>
      <c r="B38" s="43"/>
      <c r="C38" s="43">
        <v>14752.691030000002</v>
      </c>
      <c r="D38" s="43">
        <v>8810.76</v>
      </c>
      <c r="E38" s="43">
        <v>289.41000000000003</v>
      </c>
      <c r="F38" s="43"/>
      <c r="G38" s="44"/>
      <c r="H38" s="45"/>
      <c r="I38" s="58"/>
      <c r="J38" s="46">
        <v>23274.1</v>
      </c>
      <c r="K38" s="43"/>
      <c r="L38" s="45"/>
      <c r="M38" s="45"/>
      <c r="N38" s="46"/>
      <c r="O38" s="43"/>
      <c r="P38" s="55"/>
      <c r="Q38" s="46"/>
      <c r="R38" s="43"/>
      <c r="S38" s="55"/>
      <c r="T38" s="55"/>
      <c r="U38" s="46"/>
      <c r="V38" s="101">
        <f t="shared" si="0"/>
        <v>-5.8969999994587852E-2</v>
      </c>
    </row>
    <row r="39" spans="1:22" s="37" customFormat="1" x14ac:dyDescent="0.2">
      <c r="A39" s="128" t="s">
        <v>63</v>
      </c>
      <c r="B39" s="43"/>
      <c r="C39" s="43">
        <v>21763.88624</v>
      </c>
      <c r="D39" s="43"/>
      <c r="E39" s="43">
        <v>21763.89</v>
      </c>
      <c r="F39" s="43"/>
      <c r="G39" s="44"/>
      <c r="H39" s="45"/>
      <c r="I39" s="58"/>
      <c r="J39" s="46"/>
      <c r="K39" s="43"/>
      <c r="L39" s="45"/>
      <c r="M39" s="45"/>
      <c r="N39" s="46"/>
      <c r="O39" s="43"/>
      <c r="P39" s="55"/>
      <c r="Q39" s="46"/>
      <c r="R39" s="43"/>
      <c r="S39" s="55"/>
      <c r="T39" s="55"/>
      <c r="U39" s="46"/>
      <c r="V39" s="101">
        <f t="shared" si="0"/>
        <v>-3.7599999996018596E-3</v>
      </c>
    </row>
    <row r="40" spans="1:22" s="37" customFormat="1" ht="25.5" x14ac:dyDescent="0.2">
      <c r="A40" s="128" t="s">
        <v>64</v>
      </c>
      <c r="B40" s="43"/>
      <c r="C40" s="43">
        <v>53656.974830000006</v>
      </c>
      <c r="D40" s="43">
        <v>22429.23</v>
      </c>
      <c r="E40" s="43">
        <v>76086.210000000006</v>
      </c>
      <c r="F40" s="43"/>
      <c r="G40" s="44"/>
      <c r="H40" s="45"/>
      <c r="I40" s="58"/>
      <c r="J40" s="46"/>
      <c r="K40" s="43"/>
      <c r="L40" s="45"/>
      <c r="M40" s="45"/>
      <c r="N40" s="46"/>
      <c r="O40" s="43"/>
      <c r="P40" s="55"/>
      <c r="Q40" s="46"/>
      <c r="R40" s="43"/>
      <c r="S40" s="55"/>
      <c r="T40" s="55"/>
      <c r="U40" s="46"/>
      <c r="V40" s="101">
        <f t="shared" si="0"/>
        <v>-5.1700000040000305E-3</v>
      </c>
    </row>
    <row r="41" spans="1:22" s="37" customFormat="1" x14ac:dyDescent="0.2">
      <c r="A41" s="128" t="s">
        <v>65</v>
      </c>
      <c r="B41" s="43"/>
      <c r="C41" s="43">
        <v>18168.2389</v>
      </c>
      <c r="D41" s="43">
        <v>64478.93</v>
      </c>
      <c r="E41" s="43"/>
      <c r="F41" s="43"/>
      <c r="G41" s="44">
        <v>13.86</v>
      </c>
      <c r="H41" s="45"/>
      <c r="I41" s="58">
        <f>15683+2177.01</f>
        <v>17860.010000000002</v>
      </c>
      <c r="J41" s="46">
        <v>100507.18</v>
      </c>
      <c r="K41" s="43"/>
      <c r="L41" s="45"/>
      <c r="M41" s="45"/>
      <c r="N41" s="46"/>
      <c r="O41" s="43"/>
      <c r="P41" s="55"/>
      <c r="Q41" s="46"/>
      <c r="R41" s="43"/>
      <c r="S41" s="55"/>
      <c r="T41" s="55"/>
      <c r="U41" s="46"/>
      <c r="V41" s="101">
        <f t="shared" si="0"/>
        <v>-1.0999999940395355E-3</v>
      </c>
    </row>
    <row r="42" spans="1:22" s="37" customFormat="1" x14ac:dyDescent="0.2">
      <c r="A42" s="128" t="s">
        <v>66</v>
      </c>
      <c r="B42" s="43"/>
      <c r="C42" s="43"/>
      <c r="D42" s="43"/>
      <c r="E42" s="43"/>
      <c r="F42" s="43"/>
      <c r="G42" s="44"/>
      <c r="H42" s="45"/>
      <c r="I42" s="58"/>
      <c r="J42" s="46"/>
      <c r="K42" s="43"/>
      <c r="L42" s="45"/>
      <c r="M42" s="45"/>
      <c r="N42" s="46"/>
      <c r="O42" s="43"/>
      <c r="P42" s="55"/>
      <c r="Q42" s="46"/>
      <c r="R42" s="43"/>
      <c r="S42" s="55"/>
      <c r="T42" s="55"/>
      <c r="U42" s="46"/>
      <c r="V42" s="101">
        <f t="shared" si="0"/>
        <v>0</v>
      </c>
    </row>
    <row r="43" spans="1:22" s="37" customFormat="1" x14ac:dyDescent="0.2">
      <c r="A43" s="128" t="s">
        <v>67</v>
      </c>
      <c r="B43" s="43"/>
      <c r="C43" s="43"/>
      <c r="D43" s="43"/>
      <c r="E43" s="43"/>
      <c r="F43" s="43"/>
      <c r="G43" s="44"/>
      <c r="H43" s="45"/>
      <c r="I43" s="58"/>
      <c r="J43" s="46"/>
      <c r="K43" s="43"/>
      <c r="L43" s="45"/>
      <c r="M43" s="45">
        <v>16540</v>
      </c>
      <c r="N43" s="46">
        <v>0</v>
      </c>
      <c r="O43" s="43"/>
      <c r="P43" s="55"/>
      <c r="Q43" s="46">
        <v>16540</v>
      </c>
      <c r="R43" s="43"/>
      <c r="S43" s="55"/>
      <c r="T43" s="55"/>
      <c r="U43" s="46"/>
      <c r="V43" s="101">
        <f t="shared" si="0"/>
        <v>0</v>
      </c>
    </row>
    <row r="44" spans="1:22" s="37" customFormat="1" ht="25.5" x14ac:dyDescent="0.2">
      <c r="A44" s="128" t="s">
        <v>68</v>
      </c>
      <c r="B44" s="43"/>
      <c r="C44" s="43"/>
      <c r="D44" s="43">
        <v>1576.58</v>
      </c>
      <c r="E44" s="43"/>
      <c r="F44" s="43"/>
      <c r="G44" s="44">
        <v>78.94</v>
      </c>
      <c r="H44" s="45"/>
      <c r="I44" s="58">
        <v>25165.53</v>
      </c>
      <c r="J44" s="46"/>
      <c r="K44" s="43"/>
      <c r="L44" s="45"/>
      <c r="M44" s="45">
        <v>9848.58</v>
      </c>
      <c r="N44" s="46">
        <v>37011</v>
      </c>
      <c r="O44" s="43"/>
      <c r="P44" s="55"/>
      <c r="Q44" s="46"/>
      <c r="R44" s="43"/>
      <c r="S44" s="55"/>
      <c r="T44" s="55"/>
      <c r="U44" s="46"/>
      <c r="V44" s="101">
        <f t="shared" si="0"/>
        <v>-420.30999999999767</v>
      </c>
    </row>
    <row r="45" spans="1:22" x14ac:dyDescent="0.2">
      <c r="A45" s="134" t="s">
        <v>5</v>
      </c>
      <c r="B45" s="27"/>
      <c r="C45" s="27"/>
      <c r="D45" s="27"/>
      <c r="E45" s="27"/>
      <c r="F45" s="27">
        <v>37193.040000000001</v>
      </c>
      <c r="G45" s="11"/>
      <c r="H45" s="129"/>
      <c r="I45" s="61"/>
      <c r="J45" s="28"/>
      <c r="K45" s="47"/>
      <c r="L45" s="129"/>
      <c r="M45" s="135">
        <v>30600</v>
      </c>
      <c r="N45" s="33"/>
      <c r="O45" s="36"/>
      <c r="P45" s="135">
        <v>297500</v>
      </c>
      <c r="Q45" s="135">
        <v>30600</v>
      </c>
      <c r="R45" s="43"/>
      <c r="S45" s="55"/>
      <c r="T45" s="55"/>
      <c r="U45" s="135">
        <v>297500</v>
      </c>
      <c r="V45" s="101">
        <f t="shared" si="0"/>
        <v>0</v>
      </c>
    </row>
    <row r="46" spans="1:22" x14ac:dyDescent="0.2">
      <c r="A46" s="16" t="s">
        <v>2</v>
      </c>
      <c r="B46" s="23"/>
      <c r="C46" s="23"/>
      <c r="D46" s="23"/>
      <c r="E46" s="23"/>
      <c r="F46" s="23">
        <v>71.91</v>
      </c>
      <c r="G46" s="6"/>
      <c r="H46" s="6">
        <v>0</v>
      </c>
      <c r="I46" s="59"/>
      <c r="J46" s="24"/>
      <c r="K46" s="47"/>
      <c r="L46" s="9">
        <v>0</v>
      </c>
      <c r="M46" s="9"/>
      <c r="N46" s="34"/>
      <c r="O46" s="23">
        <v>0</v>
      </c>
      <c r="P46" s="56"/>
      <c r="Q46" s="24"/>
      <c r="R46" s="23">
        <v>0</v>
      </c>
      <c r="S46" s="56"/>
      <c r="T46" s="56"/>
      <c r="U46" s="24"/>
      <c r="V46" s="101">
        <f t="shared" si="0"/>
        <v>0</v>
      </c>
    </row>
    <row r="47" spans="1:22" x14ac:dyDescent="0.2">
      <c r="A47" s="16" t="s">
        <v>3</v>
      </c>
      <c r="B47" s="23"/>
      <c r="C47" s="23"/>
      <c r="D47" s="23"/>
      <c r="E47" s="23"/>
      <c r="F47" s="23"/>
      <c r="G47" s="6"/>
      <c r="H47" s="6">
        <v>615</v>
      </c>
      <c r="I47" s="59"/>
      <c r="J47" s="24"/>
      <c r="K47" s="47"/>
      <c r="L47" s="7">
        <v>40400</v>
      </c>
      <c r="M47" s="7"/>
      <c r="N47" s="32"/>
      <c r="O47" s="23">
        <v>10000</v>
      </c>
      <c r="P47" s="56"/>
      <c r="Q47" s="24"/>
      <c r="R47" s="23"/>
      <c r="S47" s="56"/>
      <c r="T47" s="56"/>
      <c r="U47" s="24"/>
      <c r="V47" s="101">
        <f t="shared" si="0"/>
        <v>0</v>
      </c>
    </row>
    <row r="48" spans="1:22" x14ac:dyDescent="0.2">
      <c r="A48" s="16" t="s">
        <v>1</v>
      </c>
      <c r="B48" s="23"/>
      <c r="C48" s="23"/>
      <c r="D48" s="23"/>
      <c r="E48" s="23"/>
      <c r="F48" s="23"/>
      <c r="G48" s="6"/>
      <c r="H48" s="6"/>
      <c r="I48" s="59"/>
      <c r="J48" s="24"/>
      <c r="K48" s="35"/>
      <c r="L48" s="7"/>
      <c r="M48" s="7"/>
      <c r="N48" s="32"/>
      <c r="O48" s="23">
        <v>30000</v>
      </c>
      <c r="P48" s="56"/>
      <c r="Q48" s="24"/>
      <c r="R48" s="23">
        <v>65000</v>
      </c>
      <c r="S48" s="56"/>
      <c r="T48" s="56"/>
      <c r="U48" s="24"/>
      <c r="V48" s="101">
        <f t="shared" si="0"/>
        <v>0</v>
      </c>
    </row>
    <row r="49" spans="1:22" x14ac:dyDescent="0.2">
      <c r="A49" s="16" t="s">
        <v>4</v>
      </c>
      <c r="B49" s="23"/>
      <c r="C49" s="23"/>
      <c r="D49" s="23"/>
      <c r="E49" s="23"/>
      <c r="F49" s="23"/>
      <c r="G49" s="6"/>
      <c r="H49" s="6">
        <v>25000</v>
      </c>
      <c r="I49" s="59"/>
      <c r="J49" s="24"/>
      <c r="K49" s="47"/>
      <c r="L49" s="7">
        <v>70000</v>
      </c>
      <c r="M49" s="7"/>
      <c r="N49" s="32"/>
      <c r="O49" s="23"/>
      <c r="P49" s="56"/>
      <c r="Q49" s="24"/>
      <c r="R49" s="23"/>
      <c r="S49" s="56"/>
      <c r="T49" s="56"/>
      <c r="U49" s="24"/>
      <c r="V49" s="101">
        <f t="shared" si="0"/>
        <v>0</v>
      </c>
    </row>
    <row r="50" spans="1:22" s="8" customFormat="1" x14ac:dyDescent="0.2">
      <c r="A50" s="17" t="s">
        <v>27</v>
      </c>
      <c r="B50" s="25">
        <f t="shared" ref="B50:R50" si="2">SUM(B36:B49)</f>
        <v>0</v>
      </c>
      <c r="C50" s="25">
        <f t="shared" si="2"/>
        <v>117740.91272000001</v>
      </c>
      <c r="D50" s="25">
        <f t="shared" si="2"/>
        <v>110050.73</v>
      </c>
      <c r="E50" s="25">
        <f t="shared" si="2"/>
        <v>98139.510000000009</v>
      </c>
      <c r="F50" s="25">
        <f t="shared" si="2"/>
        <v>37264.950000000004</v>
      </c>
      <c r="G50" s="1">
        <f t="shared" si="2"/>
        <v>92.8</v>
      </c>
      <c r="H50" s="1">
        <f t="shared" si="2"/>
        <v>25615</v>
      </c>
      <c r="I50" s="60">
        <f t="shared" si="2"/>
        <v>48855.31</v>
      </c>
      <c r="J50" s="63">
        <f t="shared" si="2"/>
        <v>151194.13999999998</v>
      </c>
      <c r="K50" s="25">
        <f t="shared" si="2"/>
        <v>0</v>
      </c>
      <c r="L50" s="1">
        <f t="shared" si="2"/>
        <v>110400</v>
      </c>
      <c r="M50" s="1">
        <f t="shared" si="2"/>
        <v>56988.58</v>
      </c>
      <c r="N50" s="26">
        <f t="shared" si="2"/>
        <v>37011</v>
      </c>
      <c r="O50" s="25">
        <f t="shared" si="2"/>
        <v>40000</v>
      </c>
      <c r="P50" s="15">
        <f t="shared" si="2"/>
        <v>297500</v>
      </c>
      <c r="Q50" s="26">
        <f t="shared" si="2"/>
        <v>47140</v>
      </c>
      <c r="R50" s="25">
        <f t="shared" si="2"/>
        <v>65000</v>
      </c>
      <c r="S50" s="15"/>
      <c r="T50" s="15">
        <f>SUM(T36:T49)</f>
        <v>0</v>
      </c>
      <c r="U50" s="26">
        <f>SUM(U36:U49)</f>
        <v>297500</v>
      </c>
      <c r="V50" s="101">
        <f t="shared" si="0"/>
        <v>150.88271999999415</v>
      </c>
    </row>
    <row r="51" spans="1:22" s="37" customFormat="1" ht="25.5" x14ac:dyDescent="0.2">
      <c r="A51" s="130" t="s">
        <v>69</v>
      </c>
      <c r="B51" s="43"/>
      <c r="C51" s="43"/>
      <c r="D51" s="43">
        <v>12148.69</v>
      </c>
      <c r="E51" s="43"/>
      <c r="F51" s="43"/>
      <c r="G51" s="45">
        <v>258.8</v>
      </c>
      <c r="H51" s="45"/>
      <c r="I51" s="58">
        <f>10049+2355.75</f>
        <v>12404.75</v>
      </c>
      <c r="J51" s="46"/>
      <c r="K51" s="43"/>
      <c r="L51" s="45"/>
      <c r="M51" s="45"/>
      <c r="N51" s="46">
        <v>24554</v>
      </c>
      <c r="O51" s="43"/>
      <c r="P51" s="55"/>
      <c r="Q51" s="46"/>
      <c r="R51" s="43"/>
      <c r="S51" s="55"/>
      <c r="T51" s="55"/>
      <c r="U51" s="46"/>
      <c r="V51" s="101">
        <f t="shared" si="0"/>
        <v>-0.55999999999767169</v>
      </c>
    </row>
    <row r="52" spans="1:22" s="37" customFormat="1" x14ac:dyDescent="0.2">
      <c r="A52" s="130" t="s">
        <v>70</v>
      </c>
      <c r="B52" s="43"/>
      <c r="C52" s="43"/>
      <c r="D52" s="43">
        <v>5289.39</v>
      </c>
      <c r="E52" s="43"/>
      <c r="F52" s="43"/>
      <c r="G52" s="45">
        <v>94.01</v>
      </c>
      <c r="H52" s="45"/>
      <c r="I52" s="58">
        <f>6604+1011.92</f>
        <v>7615.92</v>
      </c>
      <c r="J52" s="46"/>
      <c r="K52" s="43"/>
      <c r="L52" s="45"/>
      <c r="M52" s="45"/>
      <c r="N52" s="46">
        <v>12906</v>
      </c>
      <c r="O52" s="43"/>
      <c r="P52" s="55"/>
      <c r="Q52" s="46"/>
      <c r="R52" s="43"/>
      <c r="S52" s="55"/>
      <c r="T52" s="55"/>
      <c r="U52" s="46"/>
      <c r="V52" s="101">
        <f t="shared" si="0"/>
        <v>-0.68999999999869033</v>
      </c>
    </row>
    <row r="53" spans="1:22" s="37" customFormat="1" ht="25.5" x14ac:dyDescent="0.2">
      <c r="A53" s="130" t="s">
        <v>71</v>
      </c>
      <c r="B53" s="43"/>
      <c r="C53" s="43"/>
      <c r="D53" s="43">
        <v>9693.66</v>
      </c>
      <c r="E53" s="43"/>
      <c r="F53" s="43"/>
      <c r="G53" s="45">
        <v>223.25</v>
      </c>
      <c r="H53" s="45"/>
      <c r="I53" s="58">
        <f>9172+2111.11</f>
        <v>11283.11</v>
      </c>
      <c r="J53" s="46"/>
      <c r="K53" s="43"/>
      <c r="L53" s="45"/>
      <c r="M53" s="45"/>
      <c r="N53" s="46">
        <v>20977</v>
      </c>
      <c r="O53" s="43"/>
      <c r="P53" s="55"/>
      <c r="Q53" s="46"/>
      <c r="R53" s="43"/>
      <c r="S53" s="55"/>
      <c r="T53" s="55"/>
      <c r="U53" s="46"/>
      <c r="V53" s="101">
        <f t="shared" si="0"/>
        <v>-0.22999999999956344</v>
      </c>
    </row>
    <row r="54" spans="1:22" s="37" customFormat="1" ht="25.5" x14ac:dyDescent="0.2">
      <c r="A54" s="130" t="s">
        <v>72</v>
      </c>
      <c r="B54" s="43"/>
      <c r="C54" s="43"/>
      <c r="D54" s="43"/>
      <c r="E54" s="43"/>
      <c r="F54" s="43"/>
      <c r="G54" s="45"/>
      <c r="H54" s="45"/>
      <c r="I54" s="58">
        <v>12830.33</v>
      </c>
      <c r="J54" s="46"/>
      <c r="K54" s="43"/>
      <c r="L54" s="45"/>
      <c r="M54" s="45">
        <v>18658</v>
      </c>
      <c r="N54" s="46"/>
      <c r="O54" s="43"/>
      <c r="P54" s="55"/>
      <c r="Q54" s="46">
        <v>31488</v>
      </c>
      <c r="R54" s="43"/>
      <c r="S54" s="55"/>
      <c r="T54" s="55"/>
      <c r="U54" s="46"/>
      <c r="V54" s="101">
        <f t="shared" si="0"/>
        <v>0.33000000000174623</v>
      </c>
    </row>
    <row r="55" spans="1:22" s="37" customFormat="1" x14ac:dyDescent="0.2">
      <c r="A55" s="130" t="s">
        <v>73</v>
      </c>
      <c r="B55" s="43"/>
      <c r="C55" s="43"/>
      <c r="D55" s="43"/>
      <c r="E55" s="43"/>
      <c r="F55" s="43"/>
      <c r="G55" s="45"/>
      <c r="H55" s="45">
        <v>46471.27</v>
      </c>
      <c r="I55" s="58">
        <v>4112</v>
      </c>
      <c r="J55" s="46"/>
      <c r="K55" s="43"/>
      <c r="L55" s="45">
        <v>66735</v>
      </c>
      <c r="M55" s="45">
        <v>23750</v>
      </c>
      <c r="N55" s="46"/>
      <c r="O55" s="43">
        <v>64910</v>
      </c>
      <c r="P55" s="55">
        <v>20347</v>
      </c>
      <c r="Q55" s="46">
        <v>48209</v>
      </c>
      <c r="R55" s="43"/>
      <c r="S55" s="55"/>
      <c r="T55" s="55"/>
      <c r="U55" s="46"/>
      <c r="V55" s="101">
        <f t="shared" si="0"/>
        <v>0</v>
      </c>
    </row>
    <row r="56" spans="1:22" s="37" customFormat="1" ht="25.5" x14ac:dyDescent="0.2">
      <c r="A56" s="130" t="s">
        <v>74</v>
      </c>
      <c r="B56" s="43"/>
      <c r="C56" s="43"/>
      <c r="D56" s="43"/>
      <c r="E56" s="43"/>
      <c r="F56" s="43"/>
      <c r="G56" s="45"/>
      <c r="H56" s="45">
        <v>7525</v>
      </c>
      <c r="I56" s="58">
        <v>2975</v>
      </c>
      <c r="J56" s="46"/>
      <c r="K56" s="43"/>
      <c r="L56" s="45">
        <v>19984</v>
      </c>
      <c r="M56" s="45">
        <v>516</v>
      </c>
      <c r="N56" s="46">
        <v>0</v>
      </c>
      <c r="O56" s="43">
        <v>33995</v>
      </c>
      <c r="P56" s="55">
        <v>525</v>
      </c>
      <c r="Q56" s="46">
        <v>4016</v>
      </c>
      <c r="R56" s="43"/>
      <c r="S56" s="55"/>
      <c r="T56" s="55"/>
      <c r="U56" s="46"/>
      <c r="V56" s="101">
        <f t="shared" si="0"/>
        <v>0</v>
      </c>
    </row>
    <row r="57" spans="1:22" s="37" customFormat="1" ht="15" x14ac:dyDescent="0.25">
      <c r="A57" s="130" t="s">
        <v>75</v>
      </c>
      <c r="B57" s="43"/>
      <c r="C57" s="43"/>
      <c r="D57" s="43"/>
      <c r="E57" s="43"/>
      <c r="F57" s="43"/>
      <c r="G57" s="45"/>
      <c r="H57" s="45"/>
      <c r="I57" s="58">
        <v>7800</v>
      </c>
      <c r="J57" s="46"/>
      <c r="K57" s="43"/>
      <c r="L57" s="45"/>
      <c r="M57" s="103">
        <v>13283</v>
      </c>
      <c r="N57" s="46"/>
      <c r="O57" s="43"/>
      <c r="P57" s="55"/>
      <c r="Q57" s="46">
        <v>21083</v>
      </c>
      <c r="R57" s="43"/>
      <c r="S57" s="55"/>
      <c r="T57" s="55"/>
      <c r="U57" s="46"/>
      <c r="V57" s="101">
        <f t="shared" si="0"/>
        <v>0</v>
      </c>
    </row>
    <row r="58" spans="1:22" s="37" customFormat="1" x14ac:dyDescent="0.2">
      <c r="A58" s="130" t="s">
        <v>76</v>
      </c>
      <c r="B58" s="43"/>
      <c r="C58" s="43"/>
      <c r="D58" s="43"/>
      <c r="E58" s="43"/>
      <c r="F58" s="43"/>
      <c r="G58" s="45"/>
      <c r="H58" s="45"/>
      <c r="I58" s="58"/>
      <c r="J58" s="46"/>
      <c r="K58" s="43"/>
      <c r="L58" s="45"/>
      <c r="M58" s="7">
        <v>1750</v>
      </c>
      <c r="N58" s="46"/>
      <c r="O58" s="43"/>
      <c r="P58" s="55">
        <v>1750</v>
      </c>
      <c r="Q58" s="46">
        <v>3500</v>
      </c>
      <c r="R58" s="43"/>
      <c r="S58" s="55"/>
      <c r="T58" s="55"/>
      <c r="U58" s="46"/>
      <c r="V58" s="101">
        <f t="shared" si="0"/>
        <v>0</v>
      </c>
    </row>
    <row r="59" spans="1:22" x14ac:dyDescent="0.2">
      <c r="A59" s="18" t="s">
        <v>151</v>
      </c>
      <c r="B59" s="31"/>
      <c r="C59" s="31"/>
      <c r="D59" s="31"/>
      <c r="E59" s="31"/>
      <c r="F59" s="31"/>
      <c r="G59" s="7"/>
      <c r="H59" s="7">
        <v>0</v>
      </c>
      <c r="I59" s="62"/>
      <c r="J59" s="32"/>
      <c r="K59" s="43"/>
      <c r="L59" s="7">
        <v>10000</v>
      </c>
      <c r="M59" s="62"/>
      <c r="N59" s="32"/>
      <c r="O59" s="31"/>
      <c r="P59" s="131"/>
      <c r="Q59" s="32"/>
      <c r="R59" s="23"/>
      <c r="S59" s="56"/>
      <c r="T59" s="56"/>
      <c r="U59" s="24"/>
      <c r="V59" s="101">
        <f t="shared" si="0"/>
        <v>0</v>
      </c>
    </row>
    <row r="60" spans="1:22" x14ac:dyDescent="0.2">
      <c r="A60" s="18" t="s">
        <v>24</v>
      </c>
      <c r="B60" s="31"/>
      <c r="C60" s="31"/>
      <c r="D60" s="31"/>
      <c r="E60" s="31"/>
      <c r="F60" s="31"/>
      <c r="G60" s="7"/>
      <c r="H60" s="7">
        <v>15864.43</v>
      </c>
      <c r="I60" s="62"/>
      <c r="J60" s="32"/>
      <c r="K60" s="43"/>
      <c r="L60" s="7">
        <v>82731</v>
      </c>
      <c r="M60" s="58">
        <v>37794</v>
      </c>
      <c r="N60" s="46">
        <v>37794</v>
      </c>
      <c r="O60" s="31">
        <v>19761</v>
      </c>
      <c r="P60" s="131"/>
      <c r="Q60" s="32"/>
      <c r="R60" s="23"/>
      <c r="S60" s="56"/>
      <c r="T60" s="56"/>
      <c r="U60" s="24"/>
      <c r="V60" s="101">
        <f t="shared" si="0"/>
        <v>0</v>
      </c>
    </row>
    <row r="61" spans="1:22" ht="25.5" x14ac:dyDescent="0.2">
      <c r="A61" s="18" t="s">
        <v>23</v>
      </c>
      <c r="B61" s="31"/>
      <c r="C61" s="31"/>
      <c r="D61" s="31"/>
      <c r="E61" s="31"/>
      <c r="F61" s="31">
        <v>38.97</v>
      </c>
      <c r="G61" s="7"/>
      <c r="H61" s="7">
        <v>52961.03</v>
      </c>
      <c r="I61" s="62">
        <v>0</v>
      </c>
      <c r="J61" s="32">
        <v>0</v>
      </c>
      <c r="K61" s="43"/>
      <c r="L61" s="7">
        <v>130000</v>
      </c>
      <c r="M61" s="7">
        <v>65000</v>
      </c>
      <c r="N61" s="32">
        <v>65000</v>
      </c>
      <c r="O61" s="31">
        <v>112039</v>
      </c>
      <c r="P61" s="131"/>
      <c r="Q61" s="32"/>
      <c r="R61" s="23"/>
      <c r="S61" s="56"/>
      <c r="T61" s="56"/>
      <c r="U61" s="24"/>
      <c r="V61" s="101">
        <f>C61+D61+I61+M61+P61+T61-E61-J61-N61-Q61-U61</f>
        <v>0</v>
      </c>
    </row>
    <row r="62" spans="1:22" ht="25.5" x14ac:dyDescent="0.2">
      <c r="A62" s="18" t="s">
        <v>160</v>
      </c>
      <c r="B62" s="31"/>
      <c r="C62" s="31"/>
      <c r="D62" s="31"/>
      <c r="E62" s="31"/>
      <c r="F62" s="31"/>
      <c r="G62" s="7"/>
      <c r="H62" s="7">
        <v>7800</v>
      </c>
      <c r="I62" s="62"/>
      <c r="J62" s="32"/>
      <c r="K62" s="43"/>
      <c r="L62" s="7">
        <v>5700</v>
      </c>
      <c r="M62" s="7"/>
      <c r="N62" s="32"/>
      <c r="O62" s="31"/>
      <c r="P62" s="131"/>
      <c r="Q62" s="32"/>
      <c r="R62" s="23"/>
      <c r="S62" s="56"/>
      <c r="T62" s="56"/>
      <c r="U62" s="24"/>
      <c r="V62" s="101">
        <f t="shared" si="0"/>
        <v>0</v>
      </c>
    </row>
    <row r="63" spans="1:22" s="8" customFormat="1" x14ac:dyDescent="0.2">
      <c r="A63" s="17" t="s">
        <v>30</v>
      </c>
      <c r="B63" s="25">
        <f t="shared" ref="B63:U63" si="3">SUM(B51:B62)</f>
        <v>0</v>
      </c>
      <c r="C63" s="25">
        <f t="shared" si="3"/>
        <v>0</v>
      </c>
      <c r="D63" s="25">
        <f t="shared" si="3"/>
        <v>27131.74</v>
      </c>
      <c r="E63" s="25">
        <f t="shared" si="3"/>
        <v>0</v>
      </c>
      <c r="F63" s="25">
        <f t="shared" si="3"/>
        <v>38.97</v>
      </c>
      <c r="G63" s="25">
        <f t="shared" si="3"/>
        <v>576.05999999999995</v>
      </c>
      <c r="H63" s="25">
        <f t="shared" si="3"/>
        <v>130621.73</v>
      </c>
      <c r="I63" s="25">
        <f t="shared" si="3"/>
        <v>59021.11</v>
      </c>
      <c r="J63" s="25">
        <f t="shared" si="3"/>
        <v>0</v>
      </c>
      <c r="K63" s="25">
        <f t="shared" si="3"/>
        <v>0</v>
      </c>
      <c r="L63" s="25">
        <f t="shared" si="3"/>
        <v>315150</v>
      </c>
      <c r="M63" s="25">
        <f t="shared" si="3"/>
        <v>160751</v>
      </c>
      <c r="N63" s="25">
        <f t="shared" si="3"/>
        <v>161231</v>
      </c>
      <c r="O63" s="25">
        <f t="shared" si="3"/>
        <v>230705</v>
      </c>
      <c r="P63" s="25">
        <f t="shared" si="3"/>
        <v>22622</v>
      </c>
      <c r="Q63" s="25">
        <f t="shared" si="3"/>
        <v>108296</v>
      </c>
      <c r="R63" s="25">
        <f t="shared" si="3"/>
        <v>0</v>
      </c>
      <c r="S63" s="25">
        <f t="shared" si="3"/>
        <v>0</v>
      </c>
      <c r="T63" s="25">
        <f t="shared" si="3"/>
        <v>0</v>
      </c>
      <c r="U63" s="25">
        <f t="shared" si="3"/>
        <v>0</v>
      </c>
      <c r="V63" s="101">
        <f t="shared" si="0"/>
        <v>-1.1500000000232831</v>
      </c>
    </row>
    <row r="64" spans="1:22" s="37" customFormat="1" x14ac:dyDescent="0.2">
      <c r="A64" s="128" t="s">
        <v>102</v>
      </c>
      <c r="B64" s="43"/>
      <c r="C64" s="43"/>
      <c r="D64" s="43"/>
      <c r="E64" s="43"/>
      <c r="F64" s="43"/>
      <c r="G64" s="45"/>
      <c r="H64" s="45"/>
      <c r="I64" s="58"/>
      <c r="J64" s="46"/>
      <c r="K64" s="43"/>
      <c r="L64" s="45"/>
      <c r="M64" s="58">
        <v>0</v>
      </c>
      <c r="N64" s="46"/>
      <c r="O64" s="43"/>
      <c r="P64" s="55">
        <v>17000</v>
      </c>
      <c r="Q64" s="46">
        <v>17000</v>
      </c>
      <c r="R64" s="43"/>
      <c r="S64" s="55"/>
      <c r="T64" s="55"/>
      <c r="U64" s="46"/>
      <c r="V64" s="101">
        <f t="shared" si="0"/>
        <v>0</v>
      </c>
    </row>
    <row r="65" spans="1:22" s="37" customFormat="1" x14ac:dyDescent="0.2">
      <c r="A65" s="128" t="s">
        <v>194</v>
      </c>
      <c r="B65" s="43"/>
      <c r="C65" s="43">
        <v>569</v>
      </c>
      <c r="D65" s="43"/>
      <c r="E65" s="43"/>
      <c r="F65" s="43"/>
      <c r="G65" s="45"/>
      <c r="H65" s="45"/>
      <c r="I65" s="58"/>
      <c r="J65" s="46"/>
      <c r="K65" s="43"/>
      <c r="L65" s="45"/>
      <c r="M65" s="58"/>
      <c r="N65" s="46"/>
      <c r="O65" s="43"/>
      <c r="P65" s="55"/>
      <c r="Q65" s="46"/>
      <c r="R65" s="43"/>
      <c r="S65" s="55"/>
      <c r="T65" s="55"/>
      <c r="U65" s="46"/>
      <c r="V65" s="101">
        <f t="shared" si="0"/>
        <v>569</v>
      </c>
    </row>
    <row r="66" spans="1:22" s="37" customFormat="1" x14ac:dyDescent="0.2">
      <c r="A66" s="128" t="s">
        <v>103</v>
      </c>
      <c r="B66" s="43"/>
      <c r="C66" s="43"/>
      <c r="D66" s="43">
        <v>1730.77</v>
      </c>
      <c r="E66" s="43"/>
      <c r="F66" s="43"/>
      <c r="G66" s="45"/>
      <c r="H66" s="45"/>
      <c r="I66" s="58">
        <v>1000</v>
      </c>
      <c r="J66" s="46"/>
      <c r="K66" s="43"/>
      <c r="L66" s="45"/>
      <c r="M66" s="58">
        <v>3800</v>
      </c>
      <c r="N66" s="46">
        <v>6531</v>
      </c>
      <c r="O66" s="43"/>
      <c r="P66" s="55"/>
      <c r="Q66" s="46"/>
      <c r="R66" s="43"/>
      <c r="S66" s="55"/>
      <c r="T66" s="55"/>
      <c r="U66" s="46"/>
      <c r="V66" s="101">
        <f t="shared" si="0"/>
        <v>-0.22999999999956344</v>
      </c>
    </row>
    <row r="67" spans="1:22" s="37" customFormat="1" x14ac:dyDescent="0.2">
      <c r="A67" s="128" t="s">
        <v>104</v>
      </c>
      <c r="B67" s="43"/>
      <c r="C67" s="43"/>
      <c r="D67" s="43">
        <v>2331.21</v>
      </c>
      <c r="E67" s="43"/>
      <c r="F67" s="43"/>
      <c r="G67" s="45"/>
      <c r="H67" s="45"/>
      <c r="I67" s="58">
        <v>18200</v>
      </c>
      <c r="J67" s="46"/>
      <c r="K67" s="43"/>
      <c r="L67" s="45"/>
      <c r="M67" s="58">
        <v>7000</v>
      </c>
      <c r="N67" s="46"/>
      <c r="O67" s="43"/>
      <c r="P67" s="55"/>
      <c r="Q67" s="46">
        <v>27531</v>
      </c>
      <c r="R67" s="43"/>
      <c r="S67" s="55"/>
      <c r="T67" s="55"/>
      <c r="U67" s="46"/>
      <c r="V67" s="101">
        <f t="shared" si="0"/>
        <v>0.20999999999912689</v>
      </c>
    </row>
    <row r="68" spans="1:22" s="37" customFormat="1" x14ac:dyDescent="0.2">
      <c r="A68" s="128" t="s">
        <v>105</v>
      </c>
      <c r="B68" s="43"/>
      <c r="C68" s="43"/>
      <c r="D68" s="43">
        <v>3264.72</v>
      </c>
      <c r="E68" s="43"/>
      <c r="F68" s="43"/>
      <c r="G68" s="45"/>
      <c r="H68" s="45"/>
      <c r="I68" s="58">
        <f>2169+2175.17</f>
        <v>4344.17</v>
      </c>
      <c r="J68" s="46">
        <v>7608.89</v>
      </c>
      <c r="K68" s="43"/>
      <c r="L68" s="45"/>
      <c r="M68" s="58"/>
      <c r="N68" s="46"/>
      <c r="O68" s="43"/>
      <c r="P68" s="55"/>
      <c r="Q68" s="46"/>
      <c r="R68" s="43"/>
      <c r="S68" s="55"/>
      <c r="T68" s="55"/>
      <c r="U68" s="46"/>
      <c r="V68" s="101">
        <f t="shared" si="0"/>
        <v>-9.0949470177292824E-13</v>
      </c>
    </row>
    <row r="69" spans="1:22" s="37" customFormat="1" ht="25.5" x14ac:dyDescent="0.2">
      <c r="A69" s="128" t="s">
        <v>106</v>
      </c>
      <c r="B69" s="43"/>
      <c r="C69" s="43"/>
      <c r="D69" s="43">
        <v>1152.77</v>
      </c>
      <c r="E69" s="43"/>
      <c r="F69" s="43"/>
      <c r="G69" s="45"/>
      <c r="H69" s="45"/>
      <c r="I69" s="58">
        <v>5639.32</v>
      </c>
      <c r="J69" s="46">
        <v>6792.08</v>
      </c>
      <c r="K69" s="43"/>
      <c r="L69" s="45"/>
      <c r="M69" s="58"/>
      <c r="N69" s="46"/>
      <c r="O69" s="43"/>
      <c r="P69" s="55"/>
      <c r="Q69" s="46"/>
      <c r="R69" s="43"/>
      <c r="S69" s="55"/>
      <c r="T69" s="55"/>
      <c r="U69" s="46"/>
      <c r="V69" s="101">
        <f t="shared" si="0"/>
        <v>1.0000000000218279E-2</v>
      </c>
    </row>
    <row r="70" spans="1:22" s="37" customFormat="1" x14ac:dyDescent="0.2">
      <c r="A70" s="128" t="s">
        <v>107</v>
      </c>
      <c r="B70" s="43"/>
      <c r="C70" s="43"/>
      <c r="D70" s="43"/>
      <c r="E70" s="43"/>
      <c r="F70" s="43"/>
      <c r="G70" s="45"/>
      <c r="H70" s="45">
        <v>0</v>
      </c>
      <c r="I70" s="58">
        <v>0</v>
      </c>
      <c r="J70" s="46"/>
      <c r="K70" s="43"/>
      <c r="L70" s="45"/>
      <c r="M70" s="58">
        <v>2500</v>
      </c>
      <c r="N70" s="46"/>
      <c r="O70" s="43"/>
      <c r="P70" s="55">
        <v>15930</v>
      </c>
      <c r="Q70" s="46">
        <v>18430</v>
      </c>
      <c r="R70" s="43"/>
      <c r="S70" s="55"/>
      <c r="T70" s="55"/>
      <c r="U70" s="46"/>
      <c r="V70" s="101">
        <f t="shared" si="0"/>
        <v>0</v>
      </c>
    </row>
    <row r="71" spans="1:22" s="37" customFormat="1" x14ac:dyDescent="0.2">
      <c r="A71" s="122" t="s">
        <v>108</v>
      </c>
      <c r="B71" s="43"/>
      <c r="C71" s="43"/>
      <c r="D71" s="43"/>
      <c r="E71" s="43"/>
      <c r="F71" s="43"/>
      <c r="G71" s="44"/>
      <c r="H71" s="45">
        <v>0</v>
      </c>
      <c r="I71" s="58">
        <v>0</v>
      </c>
      <c r="J71" s="46"/>
      <c r="K71" s="43"/>
      <c r="L71" s="45"/>
      <c r="M71" s="58">
        <v>0</v>
      </c>
      <c r="N71" s="46"/>
      <c r="O71" s="43"/>
      <c r="P71" s="124"/>
      <c r="Q71" s="46">
        <v>0</v>
      </c>
      <c r="R71" s="43"/>
      <c r="S71" s="55"/>
      <c r="T71" s="124"/>
      <c r="U71" s="121"/>
      <c r="V71" s="101">
        <f t="shared" ref="V71:V134" si="4">C71+D71+I71+M71+P71+T71-E71-J71-N71-Q71-U71</f>
        <v>0</v>
      </c>
    </row>
    <row r="72" spans="1:22" s="37" customFormat="1" ht="25.5" x14ac:dyDescent="0.2">
      <c r="A72" s="128" t="s">
        <v>77</v>
      </c>
      <c r="B72" s="43"/>
      <c r="C72" s="43">
        <v>15545.257169999999</v>
      </c>
      <c r="D72" s="43"/>
      <c r="E72" s="43">
        <v>15545.26</v>
      </c>
      <c r="F72" s="43"/>
      <c r="G72" s="44"/>
      <c r="H72" s="45"/>
      <c r="I72" s="58"/>
      <c r="J72" s="46"/>
      <c r="K72" s="43"/>
      <c r="L72" s="45"/>
      <c r="M72" s="58"/>
      <c r="N72" s="46"/>
      <c r="O72" s="43"/>
      <c r="P72" s="55"/>
      <c r="Q72" s="46"/>
      <c r="R72" s="43"/>
      <c r="S72" s="55"/>
      <c r="T72" s="55"/>
      <c r="U72" s="46"/>
      <c r="V72" s="101">
        <f t="shared" si="4"/>
        <v>-2.8300000012677629E-3</v>
      </c>
    </row>
    <row r="73" spans="1:22" s="37" customFormat="1" ht="25.5" x14ac:dyDescent="0.2">
      <c r="A73" s="128" t="s">
        <v>79</v>
      </c>
      <c r="B73" s="43"/>
      <c r="C73" s="43">
        <v>10290.78996</v>
      </c>
      <c r="D73" s="43">
        <v>1156.56</v>
      </c>
      <c r="E73" s="43">
        <v>11447.35</v>
      </c>
      <c r="F73" s="43"/>
      <c r="G73" s="44"/>
      <c r="H73" s="45"/>
      <c r="I73" s="58"/>
      <c r="J73" s="46"/>
      <c r="K73" s="43"/>
      <c r="L73" s="45"/>
      <c r="M73" s="58"/>
      <c r="N73" s="46"/>
      <c r="O73" s="43"/>
      <c r="P73" s="55"/>
      <c r="Q73" s="46"/>
      <c r="R73" s="43"/>
      <c r="S73" s="55"/>
      <c r="T73" s="55"/>
      <c r="U73" s="46"/>
      <c r="V73" s="101">
        <f t="shared" si="4"/>
        <v>-4.000000080850441E-5</v>
      </c>
    </row>
    <row r="74" spans="1:22" s="37" customFormat="1" x14ac:dyDescent="0.2">
      <c r="A74" s="128" t="s">
        <v>78</v>
      </c>
      <c r="B74" s="43"/>
      <c r="C74" s="43"/>
      <c r="D74" s="43"/>
      <c r="E74" s="43"/>
      <c r="F74" s="43"/>
      <c r="G74" s="44">
        <v>359.74</v>
      </c>
      <c r="H74" s="45"/>
      <c r="I74" s="58"/>
      <c r="J74" s="46"/>
      <c r="K74" s="43"/>
      <c r="L74" s="45"/>
      <c r="M74" s="58"/>
      <c r="N74" s="46"/>
      <c r="O74" s="43"/>
      <c r="P74" s="55"/>
      <c r="Q74" s="46"/>
      <c r="R74" s="43"/>
      <c r="S74" s="55"/>
      <c r="T74" s="55"/>
      <c r="U74" s="46"/>
      <c r="V74" s="101">
        <f t="shared" si="4"/>
        <v>0</v>
      </c>
    </row>
    <row r="75" spans="1:22" s="37" customFormat="1" x14ac:dyDescent="0.2">
      <c r="A75" s="128" t="s">
        <v>80</v>
      </c>
      <c r="B75" s="43"/>
      <c r="C75" s="43"/>
      <c r="D75" s="43">
        <v>2148.46</v>
      </c>
      <c r="E75" s="43"/>
      <c r="F75" s="43"/>
      <c r="G75" s="44"/>
      <c r="H75" s="45"/>
      <c r="I75" s="58">
        <f>5292+3701.2</f>
        <v>8993.2000000000007</v>
      </c>
      <c r="J75" s="46"/>
      <c r="K75" s="43"/>
      <c r="L75" s="45"/>
      <c r="M75" s="58"/>
      <c r="N75" s="46">
        <v>11142</v>
      </c>
      <c r="O75" s="43"/>
      <c r="P75" s="55"/>
      <c r="Q75" s="46"/>
      <c r="R75" s="43"/>
      <c r="S75" s="55"/>
      <c r="T75" s="55"/>
      <c r="U75" s="46"/>
      <c r="V75" s="101">
        <f t="shared" si="4"/>
        <v>-0.34000000000014552</v>
      </c>
    </row>
    <row r="76" spans="1:22" s="37" customFormat="1" ht="25.5" x14ac:dyDescent="0.2">
      <c r="A76" s="128" t="s">
        <v>81</v>
      </c>
      <c r="B76" s="43"/>
      <c r="C76" s="43"/>
      <c r="D76" s="43"/>
      <c r="E76" s="43"/>
      <c r="F76" s="43"/>
      <c r="G76" s="44"/>
      <c r="H76" s="45"/>
      <c r="I76" s="58"/>
      <c r="J76" s="46"/>
      <c r="K76" s="43"/>
      <c r="L76" s="45"/>
      <c r="M76" s="58">
        <v>3473</v>
      </c>
      <c r="N76" s="46"/>
      <c r="O76" s="43"/>
      <c r="P76" s="55"/>
      <c r="Q76" s="46">
        <v>3473</v>
      </c>
      <c r="R76" s="43"/>
      <c r="S76" s="55"/>
      <c r="T76" s="55"/>
      <c r="U76" s="46"/>
      <c r="V76" s="101">
        <f t="shared" si="4"/>
        <v>0</v>
      </c>
    </row>
    <row r="77" spans="1:22" s="37" customFormat="1" x14ac:dyDescent="0.2">
      <c r="A77" s="128" t="s">
        <v>82</v>
      </c>
      <c r="B77" s="43"/>
      <c r="C77" s="43"/>
      <c r="D77" s="43"/>
      <c r="E77" s="43"/>
      <c r="F77" s="43"/>
      <c r="G77" s="44"/>
      <c r="H77" s="45"/>
      <c r="I77" s="58"/>
      <c r="J77" s="46"/>
      <c r="K77" s="43"/>
      <c r="L77" s="45"/>
      <c r="M77" s="58">
        <v>4096</v>
      </c>
      <c r="N77" s="46"/>
      <c r="O77" s="43"/>
      <c r="P77" s="55"/>
      <c r="Q77" s="46">
        <v>4096</v>
      </c>
      <c r="R77" s="43"/>
      <c r="S77" s="55"/>
      <c r="T77" s="55"/>
      <c r="U77" s="46"/>
      <c r="V77" s="101">
        <f t="shared" si="4"/>
        <v>0</v>
      </c>
    </row>
    <row r="78" spans="1:22" s="37" customFormat="1" x14ac:dyDescent="0.2">
      <c r="A78" s="128" t="s">
        <v>83</v>
      </c>
      <c r="B78" s="43"/>
      <c r="C78" s="43"/>
      <c r="D78" s="43"/>
      <c r="E78" s="43"/>
      <c r="F78" s="43"/>
      <c r="G78" s="44"/>
      <c r="H78" s="45"/>
      <c r="I78" s="58"/>
      <c r="J78" s="46"/>
      <c r="K78" s="43"/>
      <c r="L78" s="45"/>
      <c r="M78" s="58">
        <v>3819</v>
      </c>
      <c r="N78" s="46"/>
      <c r="O78" s="43"/>
      <c r="P78" s="55"/>
      <c r="Q78" s="46">
        <v>3819</v>
      </c>
      <c r="R78" s="43"/>
      <c r="S78" s="55"/>
      <c r="T78" s="55"/>
      <c r="U78" s="46"/>
      <c r="V78" s="101">
        <f t="shared" si="4"/>
        <v>0</v>
      </c>
    </row>
    <row r="79" spans="1:22" s="37" customFormat="1" x14ac:dyDescent="0.2">
      <c r="A79" s="128" t="s">
        <v>84</v>
      </c>
      <c r="B79" s="43"/>
      <c r="C79" s="43"/>
      <c r="D79" s="43"/>
      <c r="E79" s="43"/>
      <c r="F79" s="43"/>
      <c r="G79" s="44"/>
      <c r="H79" s="45"/>
      <c r="I79" s="58"/>
      <c r="J79" s="46"/>
      <c r="K79" s="43"/>
      <c r="L79" s="45"/>
      <c r="M79" s="58">
        <v>7264</v>
      </c>
      <c r="N79" s="46"/>
      <c r="O79" s="43"/>
      <c r="P79" s="55"/>
      <c r="Q79" s="46">
        <v>7264</v>
      </c>
      <c r="R79" s="43"/>
      <c r="S79" s="55"/>
      <c r="T79" s="55"/>
      <c r="U79" s="46"/>
      <c r="V79" s="101">
        <f t="shared" si="4"/>
        <v>0</v>
      </c>
    </row>
    <row r="80" spans="1:22" s="37" customFormat="1" x14ac:dyDescent="0.2">
      <c r="A80" s="128" t="s">
        <v>85</v>
      </c>
      <c r="B80" s="43"/>
      <c r="C80" s="43"/>
      <c r="D80" s="43"/>
      <c r="E80" s="43"/>
      <c r="F80" s="43"/>
      <c r="G80" s="44"/>
      <c r="H80" s="45"/>
      <c r="I80" s="58"/>
      <c r="J80" s="46"/>
      <c r="K80" s="43"/>
      <c r="L80" s="45"/>
      <c r="M80" s="58">
        <v>12270</v>
      </c>
      <c r="N80" s="46"/>
      <c r="O80" s="43"/>
      <c r="P80" s="55"/>
      <c r="Q80" s="46">
        <v>12270</v>
      </c>
      <c r="R80" s="43"/>
      <c r="S80" s="55"/>
      <c r="T80" s="55"/>
      <c r="U80" s="46"/>
      <c r="V80" s="101">
        <f t="shared" si="4"/>
        <v>0</v>
      </c>
    </row>
    <row r="81" spans="1:22" s="37" customFormat="1" x14ac:dyDescent="0.2">
      <c r="A81" s="128" t="s">
        <v>86</v>
      </c>
      <c r="B81" s="43"/>
      <c r="C81" s="43"/>
      <c r="D81" s="43"/>
      <c r="E81" s="43"/>
      <c r="F81" s="43"/>
      <c r="G81" s="44"/>
      <c r="H81" s="45"/>
      <c r="I81" s="58"/>
      <c r="J81" s="46"/>
      <c r="K81" s="43"/>
      <c r="L81" s="45"/>
      <c r="M81" s="58">
        <v>1561</v>
      </c>
      <c r="N81" s="46"/>
      <c r="O81" s="43"/>
      <c r="P81" s="55"/>
      <c r="Q81" s="46">
        <v>1561</v>
      </c>
      <c r="R81" s="43"/>
      <c r="S81" s="55"/>
      <c r="T81" s="55"/>
      <c r="U81" s="46"/>
      <c r="V81" s="101">
        <f t="shared" si="4"/>
        <v>0</v>
      </c>
    </row>
    <row r="82" spans="1:22" s="37" customFormat="1" x14ac:dyDescent="0.2">
      <c r="A82" s="128" t="s">
        <v>87</v>
      </c>
      <c r="B82" s="43"/>
      <c r="C82" s="43"/>
      <c r="D82" s="43"/>
      <c r="E82" s="43"/>
      <c r="F82" s="43"/>
      <c r="G82" s="44"/>
      <c r="H82" s="45"/>
      <c r="I82" s="58"/>
      <c r="J82" s="46"/>
      <c r="K82" s="43"/>
      <c r="L82" s="45"/>
      <c r="M82" s="58">
        <v>7683</v>
      </c>
      <c r="N82" s="46"/>
      <c r="O82" s="43"/>
      <c r="P82" s="55"/>
      <c r="Q82" s="46">
        <v>7683</v>
      </c>
      <c r="R82" s="43"/>
      <c r="S82" s="55"/>
      <c r="T82" s="55"/>
      <c r="U82" s="46"/>
      <c r="V82" s="101">
        <f t="shared" si="4"/>
        <v>0</v>
      </c>
    </row>
    <row r="83" spans="1:22" s="37" customFormat="1" x14ac:dyDescent="0.2">
      <c r="A83" s="128" t="s">
        <v>88</v>
      </c>
      <c r="B83" s="43"/>
      <c r="C83" s="43"/>
      <c r="D83" s="43"/>
      <c r="E83" s="43"/>
      <c r="F83" s="43"/>
      <c r="G83" s="44"/>
      <c r="H83" s="45"/>
      <c r="I83" s="58"/>
      <c r="J83" s="46"/>
      <c r="K83" s="43"/>
      <c r="L83" s="45"/>
      <c r="M83" s="58">
        <v>10928</v>
      </c>
      <c r="N83" s="46"/>
      <c r="O83" s="43"/>
      <c r="P83" s="55"/>
      <c r="Q83" s="46">
        <v>10928</v>
      </c>
      <c r="R83" s="43"/>
      <c r="S83" s="55"/>
      <c r="T83" s="55"/>
      <c r="U83" s="46"/>
      <c r="V83" s="101">
        <f t="shared" si="4"/>
        <v>0</v>
      </c>
    </row>
    <row r="84" spans="1:22" s="37" customFormat="1" x14ac:dyDescent="0.2">
      <c r="A84" s="128" t="s">
        <v>89</v>
      </c>
      <c r="B84" s="43"/>
      <c r="C84" s="43"/>
      <c r="D84" s="43"/>
      <c r="E84" s="43"/>
      <c r="F84" s="43"/>
      <c r="G84" s="44"/>
      <c r="H84" s="45"/>
      <c r="I84" s="58"/>
      <c r="J84" s="46"/>
      <c r="K84" s="43"/>
      <c r="L84" s="45"/>
      <c r="M84" s="58">
        <v>3356</v>
      </c>
      <c r="N84" s="46"/>
      <c r="O84" s="43"/>
      <c r="P84" s="55"/>
      <c r="Q84" s="46">
        <v>3356</v>
      </c>
      <c r="R84" s="43"/>
      <c r="S84" s="55"/>
      <c r="T84" s="55"/>
      <c r="U84" s="46"/>
      <c r="V84" s="101">
        <f t="shared" si="4"/>
        <v>0</v>
      </c>
    </row>
    <row r="85" spans="1:22" s="37" customFormat="1" x14ac:dyDescent="0.2">
      <c r="A85" s="128" t="s">
        <v>90</v>
      </c>
      <c r="B85" s="43"/>
      <c r="C85" s="43"/>
      <c r="D85" s="43"/>
      <c r="E85" s="43"/>
      <c r="F85" s="43"/>
      <c r="G85" s="44"/>
      <c r="H85" s="45"/>
      <c r="I85" s="58"/>
      <c r="J85" s="46"/>
      <c r="K85" s="43"/>
      <c r="L85" s="45"/>
      <c r="M85" s="58">
        <v>2380</v>
      </c>
      <c r="N85" s="46"/>
      <c r="O85" s="43"/>
      <c r="P85" s="55"/>
      <c r="Q85" s="46">
        <v>2380</v>
      </c>
      <c r="R85" s="43"/>
      <c r="S85" s="55"/>
      <c r="T85" s="55"/>
      <c r="U85" s="46"/>
      <c r="V85" s="101">
        <f t="shared" si="4"/>
        <v>0</v>
      </c>
    </row>
    <row r="86" spans="1:22" s="37" customFormat="1" x14ac:dyDescent="0.2">
      <c r="A86" s="128" t="s">
        <v>155</v>
      </c>
      <c r="B86" s="43"/>
      <c r="C86" s="43"/>
      <c r="D86" s="43"/>
      <c r="E86" s="43"/>
      <c r="F86" s="43"/>
      <c r="G86" s="44"/>
      <c r="H86" s="45"/>
      <c r="I86" s="58"/>
      <c r="J86" s="46"/>
      <c r="K86" s="43"/>
      <c r="L86" s="43"/>
      <c r="M86" s="58">
        <v>8191</v>
      </c>
      <c r="N86" s="46"/>
      <c r="O86" s="43"/>
      <c r="P86" s="55"/>
      <c r="Q86" s="46">
        <v>8191</v>
      </c>
      <c r="R86" s="43"/>
      <c r="S86" s="55"/>
      <c r="T86" s="55"/>
      <c r="U86" s="46"/>
      <c r="V86" s="101">
        <f t="shared" si="4"/>
        <v>0</v>
      </c>
    </row>
    <row r="87" spans="1:22" s="37" customFormat="1" x14ac:dyDescent="0.2">
      <c r="A87" s="122" t="s">
        <v>156</v>
      </c>
      <c r="B87" s="43"/>
      <c r="C87" s="43"/>
      <c r="D87" s="43"/>
      <c r="E87" s="43"/>
      <c r="F87" s="43"/>
      <c r="G87" s="44"/>
      <c r="H87" s="45"/>
      <c r="I87" s="58"/>
      <c r="J87" s="46"/>
      <c r="K87" s="43"/>
      <c r="L87" s="43"/>
      <c r="M87" s="59">
        <v>0</v>
      </c>
      <c r="N87" s="24"/>
      <c r="O87" s="43"/>
      <c r="P87" s="124"/>
      <c r="Q87" s="121"/>
      <c r="R87" s="43"/>
      <c r="S87" s="55"/>
      <c r="T87" s="55"/>
      <c r="U87" s="46"/>
      <c r="V87" s="101">
        <f t="shared" si="4"/>
        <v>0</v>
      </c>
    </row>
    <row r="88" spans="1:22" s="37" customFormat="1" ht="25.5" x14ac:dyDescent="0.2">
      <c r="A88" s="128" t="s">
        <v>157</v>
      </c>
      <c r="B88" s="43"/>
      <c r="C88" s="43"/>
      <c r="D88" s="43"/>
      <c r="E88" s="43"/>
      <c r="F88" s="43"/>
      <c r="G88" s="44"/>
      <c r="H88" s="45"/>
      <c r="I88" s="58"/>
      <c r="J88" s="46"/>
      <c r="K88" s="43"/>
      <c r="L88" s="43"/>
      <c r="M88" s="58">
        <v>9804</v>
      </c>
      <c r="N88" s="46"/>
      <c r="O88" s="43"/>
      <c r="P88" s="55"/>
      <c r="Q88" s="46">
        <v>9804</v>
      </c>
      <c r="R88" s="43"/>
      <c r="S88" s="55"/>
      <c r="T88" s="55"/>
      <c r="U88" s="46"/>
      <c r="V88" s="101">
        <f t="shared" si="4"/>
        <v>0</v>
      </c>
    </row>
    <row r="89" spans="1:22" s="37" customFormat="1" x14ac:dyDescent="0.2">
      <c r="A89" s="128" t="s">
        <v>158</v>
      </c>
      <c r="B89" s="43"/>
      <c r="C89" s="43"/>
      <c r="D89" s="43"/>
      <c r="E89" s="43"/>
      <c r="F89" s="43"/>
      <c r="G89" s="44"/>
      <c r="H89" s="45"/>
      <c r="I89" s="58"/>
      <c r="J89" s="46"/>
      <c r="K89" s="43"/>
      <c r="L89" s="43"/>
      <c r="M89" s="58">
        <v>11853</v>
      </c>
      <c r="N89" s="46"/>
      <c r="O89" s="43"/>
      <c r="P89" s="55"/>
      <c r="Q89" s="46">
        <v>11853</v>
      </c>
      <c r="R89" s="43"/>
      <c r="S89" s="55"/>
      <c r="T89" s="55"/>
      <c r="U89" s="46"/>
      <c r="V89" s="101">
        <f t="shared" si="4"/>
        <v>0</v>
      </c>
    </row>
    <row r="90" spans="1:22" s="37" customFormat="1" ht="25.5" x14ac:dyDescent="0.2">
      <c r="A90" s="128" t="s">
        <v>159</v>
      </c>
      <c r="B90" s="43"/>
      <c r="C90" s="43"/>
      <c r="D90" s="43"/>
      <c r="E90" s="43"/>
      <c r="F90" s="43"/>
      <c r="G90" s="44"/>
      <c r="H90" s="45"/>
      <c r="I90" s="58"/>
      <c r="J90" s="46"/>
      <c r="K90" s="43"/>
      <c r="L90" s="43"/>
      <c r="M90" s="58">
        <v>15042</v>
      </c>
      <c r="N90" s="46"/>
      <c r="O90" s="43"/>
      <c r="P90" s="55"/>
      <c r="Q90" s="46">
        <v>15042</v>
      </c>
      <c r="R90" s="43"/>
      <c r="S90" s="55"/>
      <c r="T90" s="55"/>
      <c r="U90" s="46"/>
      <c r="V90" s="101">
        <f t="shared" si="4"/>
        <v>0</v>
      </c>
    </row>
    <row r="91" spans="1:22" ht="25.5" x14ac:dyDescent="0.2">
      <c r="A91" s="16" t="s">
        <v>179</v>
      </c>
      <c r="B91" s="23"/>
      <c r="C91" s="23"/>
      <c r="D91" s="23"/>
      <c r="E91" s="23"/>
      <c r="F91" s="23">
        <v>162175.28</v>
      </c>
      <c r="G91" s="6"/>
      <c r="H91" s="6">
        <v>45000</v>
      </c>
      <c r="I91" s="59"/>
      <c r="J91" s="24"/>
      <c r="K91" s="23"/>
      <c r="L91" s="6">
        <v>0</v>
      </c>
      <c r="M91" s="59"/>
      <c r="N91" s="24"/>
      <c r="O91" s="23">
        <v>0</v>
      </c>
      <c r="P91" s="56"/>
      <c r="Q91" s="24"/>
      <c r="R91" s="23">
        <v>0</v>
      </c>
      <c r="S91" s="56"/>
      <c r="T91" s="56"/>
      <c r="U91" s="24"/>
      <c r="V91" s="101">
        <f t="shared" si="4"/>
        <v>0</v>
      </c>
    </row>
    <row r="92" spans="1:22" ht="25.5" x14ac:dyDescent="0.2">
      <c r="A92" s="16" t="s">
        <v>180</v>
      </c>
      <c r="B92" s="23"/>
      <c r="C92" s="23"/>
      <c r="D92" s="23"/>
      <c r="E92" s="23"/>
      <c r="F92" s="23"/>
      <c r="G92" s="6"/>
      <c r="H92" s="6">
        <v>0</v>
      </c>
      <c r="I92" s="59"/>
      <c r="J92" s="24"/>
      <c r="K92" s="47"/>
      <c r="L92" s="6">
        <v>5500</v>
      </c>
      <c r="M92" s="59"/>
      <c r="N92" s="24"/>
      <c r="O92" s="23">
        <v>25000</v>
      </c>
      <c r="P92" s="56"/>
      <c r="Q92" s="24"/>
      <c r="R92" s="23">
        <v>0</v>
      </c>
      <c r="S92" s="56"/>
      <c r="T92" s="56"/>
      <c r="U92" s="24"/>
      <c r="V92" s="101">
        <f t="shared" si="4"/>
        <v>0</v>
      </c>
    </row>
    <row r="93" spans="1:22" ht="25.5" x14ac:dyDescent="0.2">
      <c r="A93" s="16" t="s">
        <v>181</v>
      </c>
      <c r="B93" s="23"/>
      <c r="C93" s="23"/>
      <c r="D93" s="23"/>
      <c r="E93" s="23"/>
      <c r="F93" s="23"/>
      <c r="G93" s="6"/>
      <c r="H93" s="6">
        <v>2090</v>
      </c>
      <c r="I93" s="59"/>
      <c r="J93" s="24"/>
      <c r="K93" s="47"/>
      <c r="L93" s="6">
        <v>53610</v>
      </c>
      <c r="M93" s="59"/>
      <c r="N93" s="24"/>
      <c r="O93" s="23">
        <v>0</v>
      </c>
      <c r="P93" s="56"/>
      <c r="Q93" s="24"/>
      <c r="R93" s="23">
        <v>0</v>
      </c>
      <c r="S93" s="56"/>
      <c r="T93" s="56"/>
      <c r="U93" s="24"/>
      <c r="V93" s="101">
        <f t="shared" si="4"/>
        <v>0</v>
      </c>
    </row>
    <row r="94" spans="1:22" ht="38.25" x14ac:dyDescent="0.2">
      <c r="A94" s="16" t="s">
        <v>182</v>
      </c>
      <c r="B94" s="23"/>
      <c r="C94" s="23"/>
      <c r="D94" s="23"/>
      <c r="E94" s="23"/>
      <c r="F94" s="23"/>
      <c r="G94" s="6"/>
      <c r="H94" s="6">
        <v>31098</v>
      </c>
      <c r="I94" s="59"/>
      <c r="J94" s="24"/>
      <c r="K94" s="23"/>
      <c r="L94" s="6">
        <v>19500</v>
      </c>
      <c r="M94" s="59"/>
      <c r="N94" s="24"/>
      <c r="O94" s="23">
        <v>0</v>
      </c>
      <c r="P94" s="56"/>
      <c r="Q94" s="24"/>
      <c r="R94" s="23">
        <v>0</v>
      </c>
      <c r="S94" s="56"/>
      <c r="T94" s="56"/>
      <c r="U94" s="24"/>
      <c r="V94" s="101">
        <f t="shared" si="4"/>
        <v>0</v>
      </c>
    </row>
    <row r="95" spans="1:22" ht="38.25" x14ac:dyDescent="0.2">
      <c r="A95" s="16" t="s">
        <v>183</v>
      </c>
      <c r="B95" s="23"/>
      <c r="C95" s="23"/>
      <c r="D95" s="23"/>
      <c r="E95" s="23"/>
      <c r="F95" s="23"/>
      <c r="G95" s="6"/>
      <c r="H95" s="6">
        <v>5500</v>
      </c>
      <c r="I95" s="59"/>
      <c r="J95" s="24"/>
      <c r="K95" s="23"/>
      <c r="L95" s="6">
        <v>0</v>
      </c>
      <c r="M95" s="59"/>
      <c r="N95" s="24"/>
      <c r="O95" s="23">
        <v>0</v>
      </c>
      <c r="P95" s="56"/>
      <c r="Q95" s="24"/>
      <c r="R95" s="23">
        <v>0</v>
      </c>
      <c r="S95" s="56"/>
      <c r="T95" s="56"/>
      <c r="U95" s="24"/>
      <c r="V95" s="101">
        <f t="shared" si="4"/>
        <v>0</v>
      </c>
    </row>
    <row r="96" spans="1:22" ht="38.25" x14ac:dyDescent="0.2">
      <c r="A96" s="16" t="s">
        <v>184</v>
      </c>
      <c r="B96" s="23"/>
      <c r="C96" s="23"/>
      <c r="D96" s="23"/>
      <c r="E96" s="23"/>
      <c r="F96" s="23"/>
      <c r="G96" s="6"/>
      <c r="H96" s="6">
        <v>20571</v>
      </c>
      <c r="I96" s="59"/>
      <c r="J96" s="24"/>
      <c r="K96" s="23"/>
      <c r="L96" s="6">
        <v>113428</v>
      </c>
      <c r="M96" s="59"/>
      <c r="N96" s="24"/>
      <c r="O96" s="23">
        <v>42000</v>
      </c>
      <c r="P96" s="56"/>
      <c r="Q96" s="24"/>
      <c r="R96" s="23">
        <v>0</v>
      </c>
      <c r="S96" s="56"/>
      <c r="T96" s="56"/>
      <c r="U96" s="24"/>
      <c r="V96" s="101">
        <f t="shared" si="4"/>
        <v>0</v>
      </c>
    </row>
    <row r="97" spans="1:22" ht="25.5" x14ac:dyDescent="0.2">
      <c r="A97" s="16" t="s">
        <v>185</v>
      </c>
      <c r="B97" s="23"/>
      <c r="C97" s="23"/>
      <c r="D97" s="23"/>
      <c r="E97" s="23"/>
      <c r="F97" s="23"/>
      <c r="G97" s="6"/>
      <c r="H97" s="6">
        <v>51000</v>
      </c>
      <c r="I97" s="59"/>
      <c r="J97" s="24"/>
      <c r="K97" s="47"/>
      <c r="L97" s="6">
        <v>0</v>
      </c>
      <c r="M97" s="59"/>
      <c r="N97" s="24"/>
      <c r="O97" s="23">
        <v>0</v>
      </c>
      <c r="P97" s="56"/>
      <c r="Q97" s="24"/>
      <c r="R97" s="23">
        <v>0</v>
      </c>
      <c r="S97" s="56"/>
      <c r="T97" s="56"/>
      <c r="U97" s="24"/>
      <c r="V97" s="101">
        <f t="shared" si="4"/>
        <v>0</v>
      </c>
    </row>
    <row r="98" spans="1:22" ht="25.5" x14ac:dyDescent="0.2">
      <c r="A98" s="19" t="s">
        <v>186</v>
      </c>
      <c r="B98" s="23"/>
      <c r="C98" s="23"/>
      <c r="D98" s="23"/>
      <c r="E98" s="23"/>
      <c r="F98" s="23"/>
      <c r="G98" s="6"/>
      <c r="H98" s="6">
        <v>25000</v>
      </c>
      <c r="I98" s="59"/>
      <c r="J98" s="24"/>
      <c r="K98" s="47"/>
      <c r="L98" s="6">
        <v>0</v>
      </c>
      <c r="M98" s="59"/>
      <c r="N98" s="24"/>
      <c r="O98" s="23">
        <v>0</v>
      </c>
      <c r="P98" s="56"/>
      <c r="Q98" s="24"/>
      <c r="R98" s="23">
        <v>0</v>
      </c>
      <c r="S98" s="56"/>
      <c r="T98" s="56"/>
      <c r="U98" s="24"/>
      <c r="V98" s="101">
        <f t="shared" si="4"/>
        <v>0</v>
      </c>
    </row>
    <row r="99" spans="1:22" ht="51" x14ac:dyDescent="0.2">
      <c r="A99" s="16" t="s">
        <v>187</v>
      </c>
      <c r="B99" s="23"/>
      <c r="C99" s="23"/>
      <c r="D99" s="23"/>
      <c r="E99" s="23"/>
      <c r="F99" s="23"/>
      <c r="G99" s="6"/>
      <c r="H99" s="6">
        <v>10000</v>
      </c>
      <c r="I99" s="59"/>
      <c r="J99" s="24"/>
      <c r="K99" s="47"/>
      <c r="L99" s="6">
        <v>28000</v>
      </c>
      <c r="M99" s="59"/>
      <c r="N99" s="24"/>
      <c r="O99" s="23">
        <v>0</v>
      </c>
      <c r="P99" s="56"/>
      <c r="Q99" s="24"/>
      <c r="R99" s="23">
        <v>0</v>
      </c>
      <c r="S99" s="56"/>
      <c r="T99" s="56"/>
      <c r="U99" s="24"/>
      <c r="V99" s="101">
        <f t="shared" si="4"/>
        <v>0</v>
      </c>
    </row>
    <row r="100" spans="1:22" ht="25.5" x14ac:dyDescent="0.2">
      <c r="A100" s="16" t="s">
        <v>188</v>
      </c>
      <c r="B100" s="23"/>
      <c r="C100" s="23"/>
      <c r="D100" s="23"/>
      <c r="E100" s="23"/>
      <c r="F100" s="23"/>
      <c r="G100" s="6"/>
      <c r="H100" s="6">
        <v>27200</v>
      </c>
      <c r="I100" s="59"/>
      <c r="J100" s="24"/>
      <c r="K100" s="23"/>
      <c r="L100" s="6">
        <v>500</v>
      </c>
      <c r="M100" s="59"/>
      <c r="N100" s="24"/>
      <c r="O100" s="23">
        <v>0</v>
      </c>
      <c r="P100" s="56"/>
      <c r="Q100" s="24"/>
      <c r="R100" s="23">
        <v>0</v>
      </c>
      <c r="S100" s="56"/>
      <c r="T100" s="56"/>
      <c r="U100" s="24"/>
      <c r="V100" s="101">
        <f t="shared" si="4"/>
        <v>0</v>
      </c>
    </row>
    <row r="101" spans="1:22" ht="25.5" x14ac:dyDescent="0.2">
      <c r="A101" s="16" t="s">
        <v>189</v>
      </c>
      <c r="B101" s="23"/>
      <c r="C101" s="23"/>
      <c r="D101" s="23"/>
      <c r="E101" s="23"/>
      <c r="F101" s="23"/>
      <c r="G101" s="6"/>
      <c r="H101" s="6">
        <v>25700</v>
      </c>
      <c r="I101" s="59"/>
      <c r="J101" s="24"/>
      <c r="K101" s="47"/>
      <c r="L101" s="6">
        <v>0</v>
      </c>
      <c r="M101" s="59"/>
      <c r="N101" s="24"/>
      <c r="O101" s="23">
        <v>0</v>
      </c>
      <c r="P101" s="56"/>
      <c r="Q101" s="24"/>
      <c r="R101" s="23">
        <v>0</v>
      </c>
      <c r="S101" s="56"/>
      <c r="T101" s="56"/>
      <c r="U101" s="24"/>
      <c r="V101" s="101">
        <f t="shared" si="4"/>
        <v>0</v>
      </c>
    </row>
    <row r="102" spans="1:22" ht="25.5" x14ac:dyDescent="0.2">
      <c r="A102" s="16" t="s">
        <v>190</v>
      </c>
      <c r="B102" s="23"/>
      <c r="C102" s="23"/>
      <c r="D102" s="23"/>
      <c r="E102" s="23"/>
      <c r="F102" s="23"/>
      <c r="G102" s="6"/>
      <c r="H102" s="6">
        <v>40000</v>
      </c>
      <c r="I102" s="59"/>
      <c r="J102" s="24"/>
      <c r="K102" s="23"/>
      <c r="L102" s="6">
        <v>0</v>
      </c>
      <c r="M102" s="59"/>
      <c r="N102" s="24"/>
      <c r="O102" s="23">
        <v>0</v>
      </c>
      <c r="P102" s="56"/>
      <c r="Q102" s="24"/>
      <c r="R102" s="23">
        <v>0</v>
      </c>
      <c r="S102" s="56"/>
      <c r="T102" s="56"/>
      <c r="U102" s="24"/>
      <c r="V102" s="101">
        <f t="shared" si="4"/>
        <v>0</v>
      </c>
    </row>
    <row r="103" spans="1:22" ht="38.25" x14ac:dyDescent="0.2">
      <c r="A103" s="16" t="s">
        <v>191</v>
      </c>
      <c r="B103" s="23"/>
      <c r="C103" s="23"/>
      <c r="D103" s="23"/>
      <c r="E103" s="23"/>
      <c r="F103" s="23"/>
      <c r="G103" s="6"/>
      <c r="H103" s="6">
        <v>500</v>
      </c>
      <c r="I103" s="59"/>
      <c r="J103" s="24"/>
      <c r="K103" s="23"/>
      <c r="L103" s="6">
        <v>50639</v>
      </c>
      <c r="M103" s="59"/>
      <c r="N103" s="24"/>
      <c r="O103" s="23">
        <v>0</v>
      </c>
      <c r="P103" s="56"/>
      <c r="Q103" s="24"/>
      <c r="R103" s="23">
        <v>0</v>
      </c>
      <c r="S103" s="56"/>
      <c r="T103" s="56"/>
      <c r="U103" s="24"/>
      <c r="V103" s="101">
        <f t="shared" si="4"/>
        <v>0</v>
      </c>
    </row>
    <row r="104" spans="1:22" ht="38.25" x14ac:dyDescent="0.2">
      <c r="A104" s="16" t="s">
        <v>192</v>
      </c>
      <c r="B104" s="23"/>
      <c r="C104" s="23"/>
      <c r="D104" s="23"/>
      <c r="E104" s="23"/>
      <c r="F104" s="23"/>
      <c r="G104" s="6"/>
      <c r="H104" s="6">
        <v>6200</v>
      </c>
      <c r="I104" s="59"/>
      <c r="J104" s="24"/>
      <c r="K104" s="23"/>
      <c r="L104" s="6">
        <v>0</v>
      </c>
      <c r="M104" s="59"/>
      <c r="N104" s="24"/>
      <c r="O104" s="23">
        <v>0</v>
      </c>
      <c r="P104" s="56"/>
      <c r="Q104" s="24"/>
      <c r="R104" s="23">
        <v>0</v>
      </c>
      <c r="S104" s="56"/>
      <c r="T104" s="56"/>
      <c r="U104" s="24"/>
      <c r="V104" s="101">
        <f t="shared" si="4"/>
        <v>0</v>
      </c>
    </row>
    <row r="105" spans="1:22" ht="25.5" x14ac:dyDescent="0.2">
      <c r="A105" s="16" t="s">
        <v>193</v>
      </c>
      <c r="B105" s="23"/>
      <c r="C105" s="23"/>
      <c r="D105" s="23"/>
      <c r="E105" s="23"/>
      <c r="F105" s="23"/>
      <c r="G105" s="6"/>
      <c r="H105" s="6">
        <v>0</v>
      </c>
      <c r="I105" s="59"/>
      <c r="J105" s="24"/>
      <c r="K105" s="47"/>
      <c r="L105" s="6">
        <v>0</v>
      </c>
      <c r="M105" s="59"/>
      <c r="N105" s="24"/>
      <c r="O105" s="23">
        <v>100000</v>
      </c>
      <c r="P105" s="56"/>
      <c r="Q105" s="24"/>
      <c r="R105" s="23">
        <v>100000</v>
      </c>
      <c r="S105" s="56"/>
      <c r="T105" s="56"/>
      <c r="U105" s="24"/>
      <c r="V105" s="101">
        <f t="shared" si="4"/>
        <v>0</v>
      </c>
    </row>
    <row r="106" spans="1:22" s="8" customFormat="1" x14ac:dyDescent="0.2">
      <c r="A106" s="17" t="s">
        <v>28</v>
      </c>
      <c r="B106" s="25">
        <f t="shared" ref="B106:R106" si="5">SUM(B64:B105)</f>
        <v>0</v>
      </c>
      <c r="C106" s="25">
        <f t="shared" si="5"/>
        <v>26405.047129999999</v>
      </c>
      <c r="D106" s="25">
        <f t="shared" si="5"/>
        <v>11784.489999999998</v>
      </c>
      <c r="E106" s="25">
        <f t="shared" si="5"/>
        <v>26992.61</v>
      </c>
      <c r="F106" s="25">
        <f t="shared" si="5"/>
        <v>162175.28</v>
      </c>
      <c r="G106" s="1">
        <f t="shared" si="5"/>
        <v>359.74</v>
      </c>
      <c r="H106" s="1">
        <f t="shared" si="5"/>
        <v>289859</v>
      </c>
      <c r="I106" s="60">
        <f t="shared" si="5"/>
        <v>38176.69</v>
      </c>
      <c r="J106" s="63">
        <f t="shared" si="5"/>
        <v>14400.970000000001</v>
      </c>
      <c r="K106" s="25">
        <f t="shared" si="5"/>
        <v>0</v>
      </c>
      <c r="L106" s="1">
        <f t="shared" si="5"/>
        <v>271177</v>
      </c>
      <c r="M106" s="1">
        <f t="shared" si="5"/>
        <v>115020</v>
      </c>
      <c r="N106" s="1">
        <f t="shared" si="5"/>
        <v>17673</v>
      </c>
      <c r="O106" s="25">
        <f t="shared" si="5"/>
        <v>167000</v>
      </c>
      <c r="P106" s="15">
        <f t="shared" si="5"/>
        <v>32930</v>
      </c>
      <c r="Q106" s="26">
        <f t="shared" si="5"/>
        <v>164681</v>
      </c>
      <c r="R106" s="25">
        <f t="shared" si="5"/>
        <v>100000</v>
      </c>
      <c r="S106" s="15"/>
      <c r="T106" s="15">
        <f>SUM(T64:T105)</f>
        <v>0</v>
      </c>
      <c r="U106" s="26">
        <f>SUM(U64:U105)</f>
        <v>0</v>
      </c>
      <c r="V106" s="101">
        <f t="shared" si="4"/>
        <v>568.64713000002666</v>
      </c>
    </row>
    <row r="107" spans="1:22" s="37" customFormat="1" x14ac:dyDescent="0.2">
      <c r="A107" s="125" t="s">
        <v>91</v>
      </c>
      <c r="B107" s="43"/>
      <c r="C107" s="43"/>
      <c r="D107" s="43"/>
      <c r="E107" s="43"/>
      <c r="F107" s="43"/>
      <c r="G107" s="44"/>
      <c r="H107" s="45"/>
      <c r="I107" s="58"/>
      <c r="J107" s="46"/>
      <c r="K107" s="43"/>
      <c r="L107" s="45"/>
      <c r="M107" s="58"/>
      <c r="N107" s="46"/>
      <c r="O107" s="43"/>
      <c r="P107" s="55">
        <v>0</v>
      </c>
      <c r="Q107" s="46">
        <v>0</v>
      </c>
      <c r="R107" s="23"/>
      <c r="S107" s="56"/>
      <c r="T107" s="56"/>
      <c r="U107" s="24"/>
      <c r="V107" s="101">
        <f t="shared" si="4"/>
        <v>0</v>
      </c>
    </row>
    <row r="108" spans="1:22" s="37" customFormat="1" ht="25.5" x14ac:dyDescent="0.2">
      <c r="A108" s="132" t="s">
        <v>144</v>
      </c>
      <c r="B108" s="43"/>
      <c r="C108" s="43"/>
      <c r="D108" s="43">
        <v>19688.03</v>
      </c>
      <c r="E108" s="43"/>
      <c r="F108" s="43"/>
      <c r="G108" s="45"/>
      <c r="H108" s="45"/>
      <c r="I108" s="58"/>
      <c r="J108" s="46">
        <v>19688.04</v>
      </c>
      <c r="K108" s="43"/>
      <c r="L108" s="45"/>
      <c r="M108" s="58"/>
      <c r="N108" s="46"/>
      <c r="O108" s="43"/>
      <c r="P108" s="55"/>
      <c r="Q108" s="46"/>
      <c r="R108" s="23"/>
      <c r="S108" s="56"/>
      <c r="T108" s="56"/>
      <c r="U108" s="24"/>
      <c r="V108" s="101">
        <f t="shared" si="4"/>
        <v>-1.0000000002037268E-2</v>
      </c>
    </row>
    <row r="109" spans="1:22" s="8" customFormat="1" x14ac:dyDescent="0.2">
      <c r="A109" s="53" t="s">
        <v>165</v>
      </c>
      <c r="B109" s="43"/>
      <c r="C109" s="43"/>
      <c r="D109" s="43"/>
      <c r="E109" s="43"/>
      <c r="F109" s="43"/>
      <c r="G109" s="45"/>
      <c r="H109" s="45"/>
      <c r="I109" s="58">
        <v>0</v>
      </c>
      <c r="J109" s="46"/>
      <c r="K109" s="43"/>
      <c r="L109" s="45"/>
      <c r="M109" s="58">
        <v>45900</v>
      </c>
      <c r="N109" s="58">
        <v>28000</v>
      </c>
      <c r="O109" s="43"/>
      <c r="P109" s="55">
        <v>2520</v>
      </c>
      <c r="Q109" s="46">
        <v>20420</v>
      </c>
      <c r="R109" s="43"/>
      <c r="S109" s="55"/>
      <c r="T109" s="55"/>
      <c r="U109" s="46"/>
      <c r="V109" s="101">
        <f t="shared" si="4"/>
        <v>0</v>
      </c>
    </row>
    <row r="110" spans="1:22" s="8" customFormat="1" x14ac:dyDescent="0.2">
      <c r="A110" s="53" t="s">
        <v>166</v>
      </c>
      <c r="B110" s="43"/>
      <c r="C110" s="43"/>
      <c r="D110" s="43"/>
      <c r="E110" s="43"/>
      <c r="F110" s="43"/>
      <c r="G110" s="45"/>
      <c r="H110" s="45"/>
      <c r="I110" s="58">
        <v>0</v>
      </c>
      <c r="J110" s="46"/>
      <c r="K110" s="43"/>
      <c r="L110" s="45"/>
      <c r="M110" s="58">
        <v>14989</v>
      </c>
      <c r="N110" s="58">
        <v>14989</v>
      </c>
      <c r="O110" s="43"/>
      <c r="P110" s="55"/>
      <c r="Q110" s="46"/>
      <c r="R110" s="43"/>
      <c r="S110" s="55"/>
      <c r="T110" s="55"/>
      <c r="U110" s="46"/>
      <c r="V110" s="101">
        <f t="shared" si="4"/>
        <v>0</v>
      </c>
    </row>
    <row r="111" spans="1:22" s="8" customFormat="1" x14ac:dyDescent="0.2">
      <c r="A111" s="53" t="s">
        <v>167</v>
      </c>
      <c r="B111" s="43"/>
      <c r="C111" s="43"/>
      <c r="D111" s="43"/>
      <c r="E111" s="43"/>
      <c r="F111" s="43"/>
      <c r="G111" s="45"/>
      <c r="H111" s="45"/>
      <c r="I111" s="58">
        <v>0</v>
      </c>
      <c r="J111" s="46"/>
      <c r="K111" s="43"/>
      <c r="L111" s="45"/>
      <c r="M111" s="58">
        <v>0</v>
      </c>
      <c r="N111" s="58"/>
      <c r="O111" s="43"/>
      <c r="P111" s="55">
        <v>23000</v>
      </c>
      <c r="Q111" s="46">
        <v>23000</v>
      </c>
      <c r="R111" s="43"/>
      <c r="S111" s="55"/>
      <c r="T111" s="55"/>
      <c r="U111" s="46"/>
      <c r="V111" s="101">
        <f t="shared" si="4"/>
        <v>0</v>
      </c>
    </row>
    <row r="112" spans="1:22" x14ac:dyDescent="0.2">
      <c r="A112" s="20" t="s">
        <v>19</v>
      </c>
      <c r="B112" s="23"/>
      <c r="C112" s="23"/>
      <c r="D112" s="23"/>
      <c r="E112" s="23"/>
      <c r="F112" s="23"/>
      <c r="G112" s="6"/>
      <c r="H112" s="7">
        <v>41000</v>
      </c>
      <c r="I112" s="62"/>
      <c r="J112" s="32"/>
      <c r="K112" s="23"/>
      <c r="L112" s="6"/>
      <c r="M112" s="59"/>
      <c r="N112" s="24"/>
      <c r="O112" s="23"/>
      <c r="P112" s="56"/>
      <c r="Q112" s="24"/>
      <c r="R112" s="23"/>
      <c r="S112" s="56"/>
      <c r="T112" s="56"/>
      <c r="U112" s="24"/>
      <c r="V112" s="101">
        <f t="shared" si="4"/>
        <v>0</v>
      </c>
    </row>
    <row r="113" spans="1:22" x14ac:dyDescent="0.2">
      <c r="A113" s="20" t="s">
        <v>20</v>
      </c>
      <c r="B113" s="23"/>
      <c r="C113" s="23"/>
      <c r="D113" s="23"/>
      <c r="E113" s="23"/>
      <c r="F113" s="23"/>
      <c r="G113" s="6"/>
      <c r="H113" s="6">
        <v>15000</v>
      </c>
      <c r="I113" s="59"/>
      <c r="J113" s="24"/>
      <c r="K113" s="47"/>
      <c r="L113" s="6">
        <v>119416</v>
      </c>
      <c r="M113" s="59"/>
      <c r="N113" s="24"/>
      <c r="O113" s="23">
        <v>50000</v>
      </c>
      <c r="P113" s="56"/>
      <c r="Q113" s="24"/>
      <c r="R113" s="23"/>
      <c r="S113" s="56"/>
      <c r="T113" s="56"/>
      <c r="U113" s="24"/>
      <c r="V113" s="101">
        <f t="shared" si="4"/>
        <v>0</v>
      </c>
    </row>
    <row r="114" spans="1:22" x14ac:dyDescent="0.2">
      <c r="A114" s="20" t="s">
        <v>21</v>
      </c>
      <c r="B114" s="23"/>
      <c r="C114" s="23"/>
      <c r="D114" s="23"/>
      <c r="E114" s="23"/>
      <c r="F114" s="23"/>
      <c r="G114" s="6"/>
      <c r="H114" s="6">
        <v>2000</v>
      </c>
      <c r="I114" s="59"/>
      <c r="J114" s="24"/>
      <c r="K114" s="47"/>
      <c r="L114" s="6">
        <v>22000</v>
      </c>
      <c r="M114" s="59"/>
      <c r="N114" s="24"/>
      <c r="O114" s="23"/>
      <c r="P114" s="56"/>
      <c r="Q114" s="24"/>
      <c r="R114" s="23"/>
      <c r="S114" s="56"/>
      <c r="T114" s="56"/>
      <c r="U114" s="24"/>
      <c r="V114" s="101">
        <f t="shared" si="4"/>
        <v>0</v>
      </c>
    </row>
    <row r="115" spans="1:22" x14ac:dyDescent="0.2">
      <c r="A115" s="20" t="s">
        <v>22</v>
      </c>
      <c r="B115" s="23"/>
      <c r="C115" s="23"/>
      <c r="D115" s="23"/>
      <c r="E115" s="23"/>
      <c r="F115" s="23"/>
      <c r="G115" s="6"/>
      <c r="H115" s="6">
        <f>1000+2500</f>
        <v>3500</v>
      </c>
      <c r="I115" s="59"/>
      <c r="J115" s="24"/>
      <c r="K115" s="23"/>
      <c r="L115" s="6">
        <f>32500-2500</f>
        <v>30000</v>
      </c>
      <c r="M115" s="59"/>
      <c r="N115" s="24"/>
      <c r="O115" s="23"/>
      <c r="P115" s="56"/>
      <c r="Q115" s="24"/>
      <c r="R115" s="23"/>
      <c r="S115" s="56"/>
      <c r="T115" s="56"/>
      <c r="U115" s="24"/>
      <c r="V115" s="101">
        <f t="shared" si="4"/>
        <v>0</v>
      </c>
    </row>
    <row r="116" spans="1:22" s="8" customFormat="1" x14ac:dyDescent="0.2">
      <c r="A116" s="17" t="s">
        <v>29</v>
      </c>
      <c r="B116" s="25">
        <f t="shared" ref="B116:R116" si="6">SUM(B107:B115)</f>
        <v>0</v>
      </c>
      <c r="C116" s="25">
        <f>SUM(C107:C115)</f>
        <v>0</v>
      </c>
      <c r="D116" s="25">
        <f t="shared" si="6"/>
        <v>19688.03</v>
      </c>
      <c r="E116" s="25">
        <f t="shared" si="6"/>
        <v>0</v>
      </c>
      <c r="F116" s="25">
        <f t="shared" si="6"/>
        <v>0</v>
      </c>
      <c r="G116" s="1">
        <f t="shared" si="6"/>
        <v>0</v>
      </c>
      <c r="H116" s="1">
        <f t="shared" si="6"/>
        <v>61500</v>
      </c>
      <c r="I116" s="60">
        <f t="shared" si="6"/>
        <v>0</v>
      </c>
      <c r="J116" s="63">
        <f t="shared" si="6"/>
        <v>19688.04</v>
      </c>
      <c r="K116" s="25">
        <f t="shared" si="6"/>
        <v>0</v>
      </c>
      <c r="L116" s="1">
        <f t="shared" si="6"/>
        <v>171416</v>
      </c>
      <c r="M116" s="1">
        <f t="shared" si="6"/>
        <v>60889</v>
      </c>
      <c r="N116" s="26">
        <f t="shared" si="6"/>
        <v>42989</v>
      </c>
      <c r="O116" s="25">
        <f t="shared" si="6"/>
        <v>50000</v>
      </c>
      <c r="P116" s="15">
        <f t="shared" si="6"/>
        <v>25520</v>
      </c>
      <c r="Q116" s="26">
        <f t="shared" si="6"/>
        <v>43420</v>
      </c>
      <c r="R116" s="25">
        <f t="shared" si="6"/>
        <v>0</v>
      </c>
      <c r="S116" s="15"/>
      <c r="T116" s="15">
        <f>SUM(T107:T115)</f>
        <v>0</v>
      </c>
      <c r="U116" s="26">
        <f>SUM(U107:U115)</f>
        <v>0</v>
      </c>
      <c r="V116" s="101">
        <f t="shared" si="4"/>
        <v>-1.0000000009313226E-2</v>
      </c>
    </row>
    <row r="117" spans="1:22" s="37" customFormat="1" x14ac:dyDescent="0.2">
      <c r="A117" s="133" t="s">
        <v>109</v>
      </c>
      <c r="B117" s="43"/>
      <c r="C117" s="43"/>
      <c r="D117" s="43"/>
      <c r="E117" s="43"/>
      <c r="F117" s="43"/>
      <c r="G117" s="44"/>
      <c r="H117" s="45"/>
      <c r="I117" s="58"/>
      <c r="J117" s="46"/>
      <c r="K117" s="43"/>
      <c r="L117" s="45"/>
      <c r="M117" s="58"/>
      <c r="N117" s="46"/>
      <c r="O117" s="43"/>
      <c r="P117" s="55"/>
      <c r="Q117" s="46"/>
      <c r="R117" s="43"/>
      <c r="S117" s="55"/>
      <c r="T117" s="55"/>
      <c r="U117" s="46"/>
      <c r="V117" s="101">
        <f t="shared" si="4"/>
        <v>0</v>
      </c>
    </row>
    <row r="118" spans="1:22" s="37" customFormat="1" x14ac:dyDescent="0.2">
      <c r="A118" s="133" t="s">
        <v>110</v>
      </c>
      <c r="B118" s="43"/>
      <c r="C118" s="43"/>
      <c r="D118" s="43">
        <v>205.7</v>
      </c>
      <c r="E118" s="43"/>
      <c r="F118" s="43"/>
      <c r="G118" s="44"/>
      <c r="H118" s="45"/>
      <c r="I118" s="58">
        <f>13000+106.48</f>
        <v>13106.48</v>
      </c>
      <c r="J118" s="46">
        <v>5000</v>
      </c>
      <c r="K118" s="43"/>
      <c r="L118" s="45"/>
      <c r="M118" s="58">
        <v>30000</v>
      </c>
      <c r="N118" s="46">
        <v>30200</v>
      </c>
      <c r="O118" s="43"/>
      <c r="P118" s="55">
        <v>2276</v>
      </c>
      <c r="Q118" s="46">
        <v>10388</v>
      </c>
      <c r="R118" s="43"/>
      <c r="S118" s="55"/>
      <c r="T118" s="55"/>
      <c r="U118" s="46"/>
      <c r="V118" s="101">
        <f t="shared" si="4"/>
        <v>0.18000000000029104</v>
      </c>
    </row>
    <row r="119" spans="1:22" s="8" customFormat="1" x14ac:dyDescent="0.2">
      <c r="A119" s="17" t="s">
        <v>32</v>
      </c>
      <c r="B119" s="25">
        <f t="shared" ref="B119:R119" si="7">SUM(B117:B118)</f>
        <v>0</v>
      </c>
      <c r="C119" s="25">
        <f t="shared" si="7"/>
        <v>0</v>
      </c>
      <c r="D119" s="25">
        <f t="shared" si="7"/>
        <v>205.7</v>
      </c>
      <c r="E119" s="25">
        <f t="shared" si="7"/>
        <v>0</v>
      </c>
      <c r="F119" s="25">
        <f t="shared" si="7"/>
        <v>0</v>
      </c>
      <c r="G119" s="1">
        <f t="shared" si="7"/>
        <v>0</v>
      </c>
      <c r="H119" s="1">
        <f t="shared" si="7"/>
        <v>0</v>
      </c>
      <c r="I119" s="60">
        <f t="shared" si="7"/>
        <v>13106.48</v>
      </c>
      <c r="J119" s="63">
        <f t="shared" si="7"/>
        <v>5000</v>
      </c>
      <c r="K119" s="25">
        <f t="shared" si="7"/>
        <v>0</v>
      </c>
      <c r="L119" s="1">
        <f t="shared" si="7"/>
        <v>0</v>
      </c>
      <c r="M119" s="1">
        <f t="shared" si="7"/>
        <v>30000</v>
      </c>
      <c r="N119" s="26">
        <f t="shared" si="7"/>
        <v>30200</v>
      </c>
      <c r="O119" s="25">
        <f t="shared" si="7"/>
        <v>0</v>
      </c>
      <c r="P119" s="15">
        <f t="shared" si="7"/>
        <v>2276</v>
      </c>
      <c r="Q119" s="26">
        <f t="shared" si="7"/>
        <v>10388</v>
      </c>
      <c r="R119" s="25">
        <f t="shared" si="7"/>
        <v>0</v>
      </c>
      <c r="S119" s="15"/>
      <c r="T119" s="15">
        <f>SUM(T117:T118)</f>
        <v>0</v>
      </c>
      <c r="U119" s="26">
        <f>SUM(U117:U118)</f>
        <v>0</v>
      </c>
      <c r="V119" s="101">
        <f t="shared" si="4"/>
        <v>0.18000000000029104</v>
      </c>
    </row>
    <row r="120" spans="1:22" s="37" customFormat="1" x14ac:dyDescent="0.2">
      <c r="A120" s="125" t="s">
        <v>98</v>
      </c>
      <c r="B120" s="43"/>
      <c r="C120" s="43"/>
      <c r="D120" s="43"/>
      <c r="E120" s="43"/>
      <c r="F120" s="43"/>
      <c r="G120" s="44"/>
      <c r="H120" s="45"/>
      <c r="I120" s="58"/>
      <c r="J120" s="46"/>
      <c r="K120" s="43"/>
      <c r="L120" s="45"/>
      <c r="M120" s="123"/>
      <c r="N120" s="46">
        <v>0</v>
      </c>
      <c r="O120" s="43"/>
      <c r="P120" s="124"/>
      <c r="Q120" s="121"/>
      <c r="R120" s="43"/>
      <c r="S120" s="55"/>
      <c r="T120" s="55"/>
      <c r="U120" s="46"/>
      <c r="V120" s="101">
        <f t="shared" si="4"/>
        <v>0</v>
      </c>
    </row>
    <row r="121" spans="1:22" s="37" customFormat="1" ht="25.5" x14ac:dyDescent="0.2">
      <c r="A121" s="130" t="s">
        <v>99</v>
      </c>
      <c r="B121" s="43"/>
      <c r="C121" s="43"/>
      <c r="D121" s="43"/>
      <c r="E121" s="43"/>
      <c r="F121" s="43"/>
      <c r="G121" s="44"/>
      <c r="H121" s="45"/>
      <c r="I121" s="58"/>
      <c r="J121" s="46"/>
      <c r="K121" s="43"/>
      <c r="L121" s="45"/>
      <c r="M121" s="58">
        <v>0</v>
      </c>
      <c r="N121" s="46"/>
      <c r="O121" s="43"/>
      <c r="P121" s="55"/>
      <c r="Q121" s="46"/>
      <c r="R121" s="43"/>
      <c r="S121" s="55"/>
      <c r="T121" s="55"/>
      <c r="U121" s="46"/>
      <c r="V121" s="101">
        <f t="shared" si="4"/>
        <v>0</v>
      </c>
    </row>
    <row r="122" spans="1:22" s="37" customFormat="1" x14ac:dyDescent="0.2">
      <c r="A122" s="125" t="s">
        <v>100</v>
      </c>
      <c r="B122" s="43"/>
      <c r="C122" s="43"/>
      <c r="D122" s="43"/>
      <c r="E122" s="43"/>
      <c r="F122" s="43"/>
      <c r="G122" s="44"/>
      <c r="H122" s="45"/>
      <c r="I122" s="58"/>
      <c r="J122" s="46"/>
      <c r="K122" s="43"/>
      <c r="L122" s="45"/>
      <c r="M122" s="123"/>
      <c r="N122" s="121"/>
      <c r="O122" s="43"/>
      <c r="P122" s="124"/>
      <c r="Q122" s="121"/>
      <c r="R122" s="43"/>
      <c r="S122" s="55"/>
      <c r="T122" s="55"/>
      <c r="U122" s="46"/>
      <c r="V122" s="101">
        <f t="shared" si="4"/>
        <v>0</v>
      </c>
    </row>
    <row r="123" spans="1:22" x14ac:dyDescent="0.2">
      <c r="A123" s="125" t="s">
        <v>92</v>
      </c>
      <c r="B123" s="23"/>
      <c r="C123" s="23"/>
      <c r="D123" s="23"/>
      <c r="E123" s="23"/>
      <c r="F123" s="23"/>
      <c r="G123" s="6"/>
      <c r="H123" s="6"/>
      <c r="I123" s="59"/>
      <c r="J123" s="24"/>
      <c r="K123" s="23"/>
      <c r="L123" s="6"/>
      <c r="M123" s="59"/>
      <c r="N123" s="24"/>
      <c r="O123" s="23"/>
      <c r="P123" s="127"/>
      <c r="Q123" s="126"/>
      <c r="R123" s="23"/>
      <c r="S123" s="56"/>
      <c r="T123" s="56"/>
      <c r="U123" s="24"/>
      <c r="V123" s="101">
        <f t="shared" si="4"/>
        <v>0</v>
      </c>
    </row>
    <row r="124" spans="1:22" s="8" customFormat="1" x14ac:dyDescent="0.2">
      <c r="A124" s="17" t="s">
        <v>93</v>
      </c>
      <c r="B124" s="25">
        <f t="shared" ref="B124:R124" si="8">SUM(B120:B123)</f>
        <v>0</v>
      </c>
      <c r="C124" s="25">
        <f t="shared" si="8"/>
        <v>0</v>
      </c>
      <c r="D124" s="25">
        <f t="shared" si="8"/>
        <v>0</v>
      </c>
      <c r="E124" s="25">
        <f t="shared" si="8"/>
        <v>0</v>
      </c>
      <c r="F124" s="25">
        <f t="shared" si="8"/>
        <v>0</v>
      </c>
      <c r="G124" s="1">
        <f t="shared" si="8"/>
        <v>0</v>
      </c>
      <c r="H124" s="1">
        <f t="shared" si="8"/>
        <v>0</v>
      </c>
      <c r="I124" s="60">
        <f t="shared" si="8"/>
        <v>0</v>
      </c>
      <c r="J124" s="63">
        <f t="shared" si="8"/>
        <v>0</v>
      </c>
      <c r="K124" s="25">
        <f t="shared" si="8"/>
        <v>0</v>
      </c>
      <c r="L124" s="1">
        <f t="shared" si="8"/>
        <v>0</v>
      </c>
      <c r="M124" s="1">
        <f t="shared" si="8"/>
        <v>0</v>
      </c>
      <c r="N124" s="26">
        <f t="shared" si="8"/>
        <v>0</v>
      </c>
      <c r="O124" s="25">
        <f t="shared" si="8"/>
        <v>0</v>
      </c>
      <c r="P124" s="15">
        <f t="shared" si="8"/>
        <v>0</v>
      </c>
      <c r="Q124" s="26">
        <f t="shared" si="8"/>
        <v>0</v>
      </c>
      <c r="R124" s="25">
        <f t="shared" si="8"/>
        <v>0</v>
      </c>
      <c r="S124" s="15"/>
      <c r="T124" s="15">
        <f>SUM(T120:T123)</f>
        <v>0</v>
      </c>
      <c r="U124" s="26">
        <f>SUM(U120:U123)</f>
        <v>0</v>
      </c>
      <c r="V124" s="101">
        <f t="shared" si="4"/>
        <v>0</v>
      </c>
    </row>
    <row r="125" spans="1:22" s="37" customFormat="1" x14ac:dyDescent="0.2">
      <c r="A125" s="133" t="s">
        <v>111</v>
      </c>
      <c r="B125" s="43"/>
      <c r="C125" s="43"/>
      <c r="D125" s="43"/>
      <c r="E125" s="43"/>
      <c r="F125" s="43"/>
      <c r="G125" s="44"/>
      <c r="H125" s="45"/>
      <c r="I125" s="58"/>
      <c r="J125" s="46"/>
      <c r="K125" s="43"/>
      <c r="L125" s="45">
        <v>7543</v>
      </c>
      <c r="M125" s="58">
        <v>42000</v>
      </c>
      <c r="N125" s="46"/>
      <c r="O125" s="43">
        <v>28670</v>
      </c>
      <c r="P125" s="55">
        <v>156000</v>
      </c>
      <c r="Q125" s="46">
        <v>198000</v>
      </c>
      <c r="R125" s="43"/>
      <c r="S125" s="55"/>
      <c r="T125" s="55"/>
      <c r="U125" s="46"/>
      <c r="V125" s="101">
        <f t="shared" si="4"/>
        <v>0</v>
      </c>
    </row>
    <row r="126" spans="1:22" s="8" customFormat="1" x14ac:dyDescent="0.2">
      <c r="A126" s="17" t="s">
        <v>112</v>
      </c>
      <c r="B126" s="1">
        <f t="shared" ref="B126:U126" si="9">SUBTOTAL(9,B125)</f>
        <v>0</v>
      </c>
      <c r="C126" s="1">
        <f t="shared" si="9"/>
        <v>0</v>
      </c>
      <c r="D126" s="1">
        <f t="shared" si="9"/>
        <v>0</v>
      </c>
      <c r="E126" s="1">
        <f t="shared" si="9"/>
        <v>0</v>
      </c>
      <c r="F126" s="1">
        <f t="shared" si="9"/>
        <v>0</v>
      </c>
      <c r="G126" s="1">
        <f t="shared" si="9"/>
        <v>0</v>
      </c>
      <c r="H126" s="1">
        <f t="shared" si="9"/>
        <v>0</v>
      </c>
      <c r="I126" s="60">
        <f t="shared" si="9"/>
        <v>0</v>
      </c>
      <c r="J126" s="63">
        <f t="shared" si="9"/>
        <v>0</v>
      </c>
      <c r="K126" s="25">
        <f t="shared" si="9"/>
        <v>0</v>
      </c>
      <c r="L126" s="1">
        <f t="shared" si="9"/>
        <v>7543</v>
      </c>
      <c r="M126" s="1">
        <f t="shared" si="9"/>
        <v>42000</v>
      </c>
      <c r="N126" s="26">
        <f t="shared" si="9"/>
        <v>0</v>
      </c>
      <c r="O126" s="25">
        <f t="shared" si="9"/>
        <v>28670</v>
      </c>
      <c r="P126" s="15">
        <f>SUM(P125)</f>
        <v>156000</v>
      </c>
      <c r="Q126" s="26">
        <f t="shared" si="9"/>
        <v>198000</v>
      </c>
      <c r="R126" s="25">
        <f t="shared" si="9"/>
        <v>0</v>
      </c>
      <c r="S126" s="15"/>
      <c r="T126" s="15">
        <f>SUM(T125)</f>
        <v>0</v>
      </c>
      <c r="U126" s="26">
        <f t="shared" si="9"/>
        <v>0</v>
      </c>
      <c r="V126" s="101">
        <f t="shared" si="4"/>
        <v>0</v>
      </c>
    </row>
    <row r="127" spans="1:22" s="8" customFormat="1" ht="18.75" customHeight="1" x14ac:dyDescent="0.2">
      <c r="A127" s="73"/>
      <c r="B127" s="74">
        <f t="shared" ref="B127:R127" si="10">B126+B124+B119+B116+B106+B63+B50+B35</f>
        <v>0</v>
      </c>
      <c r="C127" s="74">
        <f t="shared" si="10"/>
        <v>459878.44561000005</v>
      </c>
      <c r="D127" s="74">
        <f t="shared" si="10"/>
        <v>312288.5</v>
      </c>
      <c r="E127" s="74">
        <f t="shared" si="10"/>
        <v>331976.3</v>
      </c>
      <c r="F127" s="74">
        <f t="shared" si="10"/>
        <v>199479.2</v>
      </c>
      <c r="G127" s="74">
        <f t="shared" si="10"/>
        <v>1028.5999999999999</v>
      </c>
      <c r="H127" s="74">
        <f t="shared" si="10"/>
        <v>535700.73</v>
      </c>
      <c r="I127" s="74">
        <f t="shared" si="10"/>
        <v>414616.24</v>
      </c>
      <c r="J127" s="74">
        <f t="shared" si="10"/>
        <v>477862.83000000007</v>
      </c>
      <c r="K127" s="74">
        <f t="shared" si="10"/>
        <v>0</v>
      </c>
      <c r="L127" s="74">
        <f t="shared" si="10"/>
        <v>1036672</v>
      </c>
      <c r="M127" s="74">
        <f t="shared" si="10"/>
        <v>944398.58000000007</v>
      </c>
      <c r="N127" s="74">
        <f t="shared" si="10"/>
        <v>467426</v>
      </c>
      <c r="O127" s="74">
        <f t="shared" si="10"/>
        <v>858552</v>
      </c>
      <c r="P127" s="74">
        <f t="shared" si="10"/>
        <v>536848</v>
      </c>
      <c r="Q127" s="74">
        <f t="shared" si="10"/>
        <v>1087925</v>
      </c>
      <c r="R127" s="74">
        <f t="shared" si="10"/>
        <v>168710</v>
      </c>
      <c r="S127" s="75"/>
      <c r="T127" s="74">
        <f>T126+T124+T119+T116+T106+T63+T50+T35</f>
        <v>0</v>
      </c>
      <c r="U127" s="74">
        <f>U126+U124+U119+U116+U106+U63+U50+U35</f>
        <v>297500</v>
      </c>
      <c r="V127" s="101">
        <f t="shared" si="4"/>
        <v>5339.6356100002304</v>
      </c>
    </row>
    <row r="128" spans="1:22" s="8" customFormat="1" x14ac:dyDescent="0.2">
      <c r="A128" s="2"/>
      <c r="B128" s="29"/>
      <c r="C128" s="29"/>
      <c r="D128" s="29"/>
      <c r="E128" s="29"/>
      <c r="F128" s="29"/>
      <c r="G128" s="3"/>
      <c r="H128" s="3"/>
      <c r="I128" s="3"/>
      <c r="J128" s="64"/>
      <c r="K128" s="29"/>
      <c r="L128" s="3"/>
      <c r="M128" s="3"/>
      <c r="N128" s="30"/>
      <c r="O128" s="29"/>
      <c r="P128" s="3"/>
      <c r="Q128" s="30"/>
      <c r="R128" s="29"/>
      <c r="S128" s="3"/>
      <c r="T128" s="3"/>
      <c r="U128" s="30"/>
      <c r="V128" s="101">
        <f t="shared" si="4"/>
        <v>0</v>
      </c>
    </row>
    <row r="129" spans="1:22" s="8" customFormat="1" ht="38.25" x14ac:dyDescent="0.2">
      <c r="A129" s="51" t="s">
        <v>137</v>
      </c>
      <c r="B129" s="66"/>
      <c r="C129" s="66"/>
      <c r="D129" s="66"/>
      <c r="E129" s="66"/>
      <c r="F129" s="66"/>
      <c r="G129" s="67"/>
      <c r="H129" s="67"/>
      <c r="I129" s="68"/>
      <c r="J129" s="69"/>
      <c r="K129" s="66"/>
      <c r="L129" s="67"/>
      <c r="M129" s="68"/>
      <c r="N129" s="69"/>
      <c r="O129" s="66"/>
      <c r="P129" s="70"/>
      <c r="Q129" s="69"/>
      <c r="R129" s="66"/>
      <c r="S129" s="70"/>
      <c r="T129" s="70"/>
      <c r="U129" s="69"/>
      <c r="V129" s="101">
        <f t="shared" si="4"/>
        <v>0</v>
      </c>
    </row>
    <row r="130" spans="1:22" s="8" customFormat="1" ht="38.25" x14ac:dyDescent="0.2">
      <c r="A130" s="52" t="s">
        <v>117</v>
      </c>
      <c r="B130" s="43"/>
      <c r="C130" s="43"/>
      <c r="D130" s="43">
        <v>4200.32</v>
      </c>
      <c r="E130" s="43">
        <v>0</v>
      </c>
      <c r="F130" s="43"/>
      <c r="G130" s="44"/>
      <c r="H130" s="45"/>
      <c r="I130" s="58"/>
      <c r="J130" s="46">
        <v>5354.55</v>
      </c>
      <c r="K130" s="43"/>
      <c r="L130" s="45"/>
      <c r="M130" s="58"/>
      <c r="N130" s="46"/>
      <c r="O130" s="43"/>
      <c r="P130" s="55"/>
      <c r="Q130" s="46"/>
      <c r="R130" s="43"/>
      <c r="S130" s="55"/>
      <c r="T130" s="55"/>
      <c r="U130" s="46"/>
      <c r="V130" s="101">
        <f t="shared" si="4"/>
        <v>-1154.2300000000005</v>
      </c>
    </row>
    <row r="131" spans="1:22" s="8" customFormat="1" ht="25.5" x14ac:dyDescent="0.2">
      <c r="A131" s="52" t="s">
        <v>118</v>
      </c>
      <c r="B131" s="43"/>
      <c r="C131" s="43"/>
      <c r="D131" s="43">
        <v>12485.01</v>
      </c>
      <c r="E131" s="43"/>
      <c r="F131" s="43"/>
      <c r="G131" s="44"/>
      <c r="H131" s="45"/>
      <c r="I131" s="58">
        <v>1198.5</v>
      </c>
      <c r="J131" s="46">
        <v>13683.76</v>
      </c>
      <c r="K131" s="43"/>
      <c r="L131" s="45"/>
      <c r="M131" s="58"/>
      <c r="N131" s="46"/>
      <c r="O131" s="43"/>
      <c r="P131" s="55"/>
      <c r="Q131" s="46"/>
      <c r="R131" s="43"/>
      <c r="S131" s="55"/>
      <c r="T131" s="55"/>
      <c r="U131" s="46"/>
      <c r="V131" s="101">
        <f t="shared" si="4"/>
        <v>-0.25</v>
      </c>
    </row>
    <row r="132" spans="1:22" s="8" customFormat="1" ht="25.5" x14ac:dyDescent="0.2">
      <c r="A132" s="52" t="s">
        <v>119</v>
      </c>
      <c r="B132" s="43"/>
      <c r="C132" s="43"/>
      <c r="D132" s="43">
        <v>731.76</v>
      </c>
      <c r="E132" s="43"/>
      <c r="F132" s="43"/>
      <c r="G132" s="44"/>
      <c r="H132" s="45"/>
      <c r="I132" s="58">
        <v>11.66</v>
      </c>
      <c r="J132" s="46"/>
      <c r="K132" s="43"/>
      <c r="L132" s="45"/>
      <c r="M132" s="58"/>
      <c r="N132" s="46">
        <v>743.42</v>
      </c>
      <c r="O132" s="43"/>
      <c r="P132" s="55"/>
      <c r="Q132" s="46"/>
      <c r="R132" s="43"/>
      <c r="S132" s="55"/>
      <c r="T132" s="55"/>
      <c r="U132" s="46"/>
      <c r="V132" s="101">
        <f t="shared" si="4"/>
        <v>0</v>
      </c>
    </row>
    <row r="133" spans="1:22" s="8" customFormat="1" ht="25.5" x14ac:dyDescent="0.2">
      <c r="A133" s="53" t="s">
        <v>120</v>
      </c>
      <c r="B133" s="43"/>
      <c r="C133" s="43"/>
      <c r="D133" s="43">
        <v>40663.625010000003</v>
      </c>
      <c r="E133" s="43"/>
      <c r="F133" s="43"/>
      <c r="G133" s="44"/>
      <c r="H133" s="45"/>
      <c r="I133" s="58">
        <v>5605.38</v>
      </c>
      <c r="J133" s="46">
        <v>46269</v>
      </c>
      <c r="K133" s="43"/>
      <c r="L133" s="45"/>
      <c r="M133" s="58"/>
      <c r="N133" s="46"/>
      <c r="O133" s="43"/>
      <c r="P133" s="55"/>
      <c r="Q133" s="46"/>
      <c r="R133" s="43"/>
      <c r="S133" s="55"/>
      <c r="T133" s="55"/>
      <c r="U133" s="46"/>
      <c r="V133" s="101">
        <f t="shared" si="4"/>
        <v>5.0100000007660128E-3</v>
      </c>
    </row>
    <row r="134" spans="1:22" s="8" customFormat="1" ht="25.5" x14ac:dyDescent="0.2">
      <c r="A134" s="53" t="s">
        <v>121</v>
      </c>
      <c r="B134" s="43"/>
      <c r="C134" s="43"/>
      <c r="D134" s="43">
        <v>0</v>
      </c>
      <c r="E134" s="43"/>
      <c r="F134" s="43"/>
      <c r="G134" s="44"/>
      <c r="H134" s="45"/>
      <c r="I134" s="58">
        <f>29294+22500</f>
        <v>51794</v>
      </c>
      <c r="J134" s="46"/>
      <c r="K134" s="43"/>
      <c r="L134" s="45"/>
      <c r="M134" s="58"/>
      <c r="N134" s="46">
        <v>51794</v>
      </c>
      <c r="O134" s="43"/>
      <c r="P134" s="55"/>
      <c r="Q134" s="46"/>
      <c r="R134" s="43"/>
      <c r="S134" s="55"/>
      <c r="T134" s="55"/>
      <c r="U134" s="46"/>
      <c r="V134" s="101">
        <f t="shared" si="4"/>
        <v>0</v>
      </c>
    </row>
    <row r="135" spans="1:22" s="8" customFormat="1" ht="25.5" x14ac:dyDescent="0.2">
      <c r="A135" s="53" t="s">
        <v>122</v>
      </c>
      <c r="B135" s="43"/>
      <c r="C135" s="43"/>
      <c r="D135" s="43"/>
      <c r="E135" s="43"/>
      <c r="F135" s="43"/>
      <c r="G135" s="44"/>
      <c r="H135" s="45"/>
      <c r="I135" s="58"/>
      <c r="J135" s="46"/>
      <c r="K135" s="43"/>
      <c r="L135" s="45"/>
      <c r="M135" s="58"/>
      <c r="N135" s="46"/>
      <c r="O135" s="43"/>
      <c r="P135" s="55"/>
      <c r="Q135" s="46"/>
      <c r="R135" s="43"/>
      <c r="S135" s="55"/>
      <c r="T135" s="55"/>
      <c r="U135" s="46"/>
      <c r="V135" s="101">
        <f t="shared" ref="V135:V156" si="11">C135+D135+I135+M135+P135+T135-E135-J135-N135-Q135-U135</f>
        <v>0</v>
      </c>
    </row>
    <row r="136" spans="1:22" s="8" customFormat="1" ht="25.5" x14ac:dyDescent="0.2">
      <c r="A136" s="53" t="s">
        <v>123</v>
      </c>
      <c r="B136" s="43"/>
      <c r="C136" s="43"/>
      <c r="D136" s="43"/>
      <c r="E136" s="43"/>
      <c r="F136" s="43"/>
      <c r="G136" s="44"/>
      <c r="H136" s="45"/>
      <c r="I136" s="58"/>
      <c r="J136" s="46"/>
      <c r="K136" s="43"/>
      <c r="L136" s="45"/>
      <c r="M136" s="58"/>
      <c r="N136" s="46"/>
      <c r="O136" s="43"/>
      <c r="P136" s="55"/>
      <c r="Q136" s="46"/>
      <c r="R136" s="43"/>
      <c r="S136" s="55"/>
      <c r="T136" s="55"/>
      <c r="U136" s="46"/>
      <c r="V136" s="101">
        <f t="shared" si="11"/>
        <v>0</v>
      </c>
    </row>
    <row r="137" spans="1:22" s="8" customFormat="1" ht="25.5" x14ac:dyDescent="0.2">
      <c r="A137" s="53" t="s">
        <v>124</v>
      </c>
      <c r="B137" s="43"/>
      <c r="C137" s="43"/>
      <c r="D137" s="43"/>
      <c r="E137" s="43"/>
      <c r="F137" s="43"/>
      <c r="G137" s="44"/>
      <c r="H137" s="45"/>
      <c r="I137" s="58"/>
      <c r="J137" s="46"/>
      <c r="K137" s="43"/>
      <c r="L137" s="45"/>
      <c r="M137" s="58"/>
      <c r="N137" s="46"/>
      <c r="O137" s="43"/>
      <c r="P137" s="55"/>
      <c r="Q137" s="46"/>
      <c r="R137" s="43"/>
      <c r="S137" s="55"/>
      <c r="T137" s="55"/>
      <c r="U137" s="46"/>
      <c r="V137" s="101">
        <f t="shared" si="11"/>
        <v>0</v>
      </c>
    </row>
    <row r="138" spans="1:22" s="8" customFormat="1" ht="25.5" x14ac:dyDescent="0.2">
      <c r="A138" s="53" t="s">
        <v>125</v>
      </c>
      <c r="B138" s="43"/>
      <c r="C138" s="43"/>
      <c r="D138" s="43"/>
      <c r="E138" s="43"/>
      <c r="F138" s="43"/>
      <c r="G138" s="44"/>
      <c r="H138" s="45"/>
      <c r="I138" s="58"/>
      <c r="J138" s="46"/>
      <c r="K138" s="43"/>
      <c r="L138" s="45"/>
      <c r="M138" s="58"/>
      <c r="N138" s="46"/>
      <c r="O138" s="43"/>
      <c r="P138" s="55"/>
      <c r="Q138" s="46"/>
      <c r="R138" s="43"/>
      <c r="S138" s="55"/>
      <c r="T138" s="55"/>
      <c r="U138" s="46"/>
      <c r="V138" s="101">
        <f t="shared" si="11"/>
        <v>0</v>
      </c>
    </row>
    <row r="139" spans="1:22" s="8" customFormat="1" ht="25.5" x14ac:dyDescent="0.2">
      <c r="A139" s="53" t="s">
        <v>126</v>
      </c>
      <c r="B139" s="43"/>
      <c r="C139" s="43"/>
      <c r="D139" s="43"/>
      <c r="E139" s="43"/>
      <c r="F139" s="43"/>
      <c r="G139" s="44"/>
      <c r="H139" s="45"/>
      <c r="I139" s="58"/>
      <c r="J139" s="46"/>
      <c r="K139" s="43"/>
      <c r="L139" s="45"/>
      <c r="M139" s="58"/>
      <c r="N139" s="46"/>
      <c r="O139" s="43"/>
      <c r="P139" s="55"/>
      <c r="Q139" s="46"/>
      <c r="R139" s="43"/>
      <c r="S139" s="55"/>
      <c r="T139" s="55"/>
      <c r="U139" s="46"/>
      <c r="V139" s="101">
        <f t="shared" si="11"/>
        <v>0</v>
      </c>
    </row>
    <row r="140" spans="1:22" s="8" customFormat="1" ht="38.25" x14ac:dyDescent="0.2">
      <c r="A140" s="53" t="s">
        <v>127</v>
      </c>
      <c r="B140" s="43"/>
      <c r="C140" s="43"/>
      <c r="D140" s="43"/>
      <c r="E140" s="43"/>
      <c r="F140" s="43"/>
      <c r="G140" s="44"/>
      <c r="H140" s="45"/>
      <c r="I140" s="58"/>
      <c r="J140" s="46"/>
      <c r="K140" s="43"/>
      <c r="L140" s="45"/>
      <c r="M140" s="58"/>
      <c r="N140" s="46"/>
      <c r="O140" s="43"/>
      <c r="P140" s="55"/>
      <c r="Q140" s="46"/>
      <c r="R140" s="43"/>
      <c r="S140" s="55"/>
      <c r="T140" s="55"/>
      <c r="U140" s="46"/>
      <c r="V140" s="101">
        <f t="shared" si="11"/>
        <v>0</v>
      </c>
    </row>
    <row r="141" spans="1:22" s="8" customFormat="1" ht="25.5" x14ac:dyDescent="0.2">
      <c r="A141" s="54" t="s">
        <v>128</v>
      </c>
      <c r="B141" s="43"/>
      <c r="C141" s="43"/>
      <c r="D141" s="43"/>
      <c r="E141" s="43"/>
      <c r="F141" s="43"/>
      <c r="G141" s="44"/>
      <c r="H141" s="45"/>
      <c r="I141" s="58"/>
      <c r="J141" s="46"/>
      <c r="K141" s="43"/>
      <c r="L141" s="45"/>
      <c r="M141" s="58"/>
      <c r="N141" s="46"/>
      <c r="O141" s="43"/>
      <c r="P141" s="55"/>
      <c r="Q141" s="46"/>
      <c r="R141" s="43"/>
      <c r="S141" s="55"/>
      <c r="T141" s="55"/>
      <c r="U141" s="46"/>
      <c r="V141" s="101">
        <f t="shared" si="11"/>
        <v>0</v>
      </c>
    </row>
    <row r="142" spans="1:22" s="8" customFormat="1" x14ac:dyDescent="0.2">
      <c r="A142" s="50" t="s">
        <v>129</v>
      </c>
      <c r="B142" s="43"/>
      <c r="C142" s="43"/>
      <c r="D142" s="43">
        <v>0</v>
      </c>
      <c r="E142" s="43"/>
      <c r="F142" s="43"/>
      <c r="G142" s="44"/>
      <c r="H142" s="45"/>
      <c r="I142" s="58"/>
      <c r="J142" s="46"/>
      <c r="K142" s="43"/>
      <c r="L142" s="45"/>
      <c r="M142" s="58"/>
      <c r="N142" s="46"/>
      <c r="O142" s="43"/>
      <c r="P142" s="55"/>
      <c r="Q142" s="46"/>
      <c r="R142" s="43"/>
      <c r="S142" s="55"/>
      <c r="T142" s="55"/>
      <c r="U142" s="46"/>
      <c r="V142" s="101">
        <f t="shared" si="11"/>
        <v>0</v>
      </c>
    </row>
    <row r="143" spans="1:22" s="8" customFormat="1" x14ac:dyDescent="0.2">
      <c r="A143" s="50" t="s">
        <v>130</v>
      </c>
      <c r="B143" s="43"/>
      <c r="C143" s="43"/>
      <c r="D143" s="43">
        <v>24827.701499999999</v>
      </c>
      <c r="E143" s="43">
        <v>24827.701499999999</v>
      </c>
      <c r="F143" s="43"/>
      <c r="G143" s="44"/>
      <c r="H143" s="45"/>
      <c r="I143" s="58"/>
      <c r="J143" s="46"/>
      <c r="K143" s="43"/>
      <c r="L143" s="45"/>
      <c r="M143" s="58"/>
      <c r="N143" s="46"/>
      <c r="O143" s="43"/>
      <c r="P143" s="55"/>
      <c r="Q143" s="46"/>
      <c r="R143" s="43"/>
      <c r="S143" s="55"/>
      <c r="T143" s="55"/>
      <c r="U143" s="46"/>
      <c r="V143" s="101">
        <f t="shared" si="11"/>
        <v>0</v>
      </c>
    </row>
    <row r="144" spans="1:22" s="8" customFormat="1" x14ac:dyDescent="0.2">
      <c r="A144" s="50" t="s">
        <v>131</v>
      </c>
      <c r="B144" s="43"/>
      <c r="C144" s="43"/>
      <c r="D144" s="43">
        <v>27000</v>
      </c>
      <c r="E144" s="43"/>
      <c r="F144" s="43"/>
      <c r="G144" s="44"/>
      <c r="H144" s="45"/>
      <c r="I144" s="58"/>
      <c r="J144" s="46">
        <v>27000</v>
      </c>
      <c r="K144" s="43"/>
      <c r="L144" s="45"/>
      <c r="M144" s="58"/>
      <c r="N144" s="46"/>
      <c r="O144" s="43"/>
      <c r="P144" s="55"/>
      <c r="Q144" s="46"/>
      <c r="R144" s="43"/>
      <c r="S144" s="55"/>
      <c r="T144" s="55"/>
      <c r="U144" s="46"/>
      <c r="V144" s="101">
        <f t="shared" si="11"/>
        <v>0</v>
      </c>
    </row>
    <row r="145" spans="1:22" s="8" customFormat="1" x14ac:dyDescent="0.2">
      <c r="A145" s="50" t="s">
        <v>132</v>
      </c>
      <c r="B145" s="43"/>
      <c r="C145" s="43">
        <v>24350.584500000001</v>
      </c>
      <c r="D145" s="43">
        <v>0</v>
      </c>
      <c r="E145" s="43">
        <v>24350.584500000001</v>
      </c>
      <c r="F145" s="43"/>
      <c r="G145" s="44"/>
      <c r="H145" s="45"/>
      <c r="I145" s="58"/>
      <c r="J145" s="46"/>
      <c r="K145" s="43"/>
      <c r="L145" s="45"/>
      <c r="M145" s="58"/>
      <c r="N145" s="46"/>
      <c r="O145" s="43"/>
      <c r="P145" s="55"/>
      <c r="Q145" s="46"/>
      <c r="R145" s="43"/>
      <c r="S145" s="55"/>
      <c r="T145" s="55"/>
      <c r="U145" s="46"/>
      <c r="V145" s="101">
        <f t="shared" si="11"/>
        <v>0</v>
      </c>
    </row>
    <row r="146" spans="1:22" s="8" customFormat="1" x14ac:dyDescent="0.2">
      <c r="A146" s="50" t="s">
        <v>133</v>
      </c>
      <c r="B146" s="43"/>
      <c r="C146" s="43"/>
      <c r="D146" s="43">
        <v>10219.720499999999</v>
      </c>
      <c r="E146" s="43"/>
      <c r="F146" s="43"/>
      <c r="G146" s="44"/>
      <c r="H146" s="45"/>
      <c r="I146" s="58"/>
      <c r="J146" s="46">
        <v>10351</v>
      </c>
      <c r="K146" s="43"/>
      <c r="L146" s="45"/>
      <c r="M146" s="58"/>
      <c r="N146" s="46"/>
      <c r="O146" s="43"/>
      <c r="P146" s="55"/>
      <c r="Q146" s="46"/>
      <c r="R146" s="43"/>
      <c r="S146" s="55"/>
      <c r="T146" s="55"/>
      <c r="U146" s="46"/>
      <c r="V146" s="101">
        <f t="shared" si="11"/>
        <v>-131.27950000000055</v>
      </c>
    </row>
    <row r="147" spans="1:22" s="8" customFormat="1" x14ac:dyDescent="0.2">
      <c r="A147" s="50" t="s">
        <v>134</v>
      </c>
      <c r="B147" s="43"/>
      <c r="C147" s="43"/>
      <c r="D147" s="43">
        <v>0</v>
      </c>
      <c r="E147" s="43"/>
      <c r="F147" s="43"/>
      <c r="G147" s="44"/>
      <c r="H147" s="45"/>
      <c r="I147" s="58">
        <v>20169</v>
      </c>
      <c r="J147" s="46">
        <v>20169</v>
      </c>
      <c r="K147" s="43"/>
      <c r="L147" s="45"/>
      <c r="M147" s="58"/>
      <c r="N147" s="46"/>
      <c r="O147" s="43"/>
      <c r="P147" s="55"/>
      <c r="Q147" s="46"/>
      <c r="R147" s="43"/>
      <c r="S147" s="55"/>
      <c r="T147" s="55"/>
      <c r="U147" s="46"/>
      <c r="V147" s="101">
        <f t="shared" si="11"/>
        <v>0</v>
      </c>
    </row>
    <row r="148" spans="1:22" s="8" customFormat="1" ht="38.25" x14ac:dyDescent="0.2">
      <c r="A148" s="54" t="s">
        <v>135</v>
      </c>
      <c r="B148" s="43"/>
      <c r="C148" s="43"/>
      <c r="D148" s="43"/>
      <c r="E148" s="43"/>
      <c r="F148" s="43"/>
      <c r="G148" s="44"/>
      <c r="H148" s="45"/>
      <c r="I148" s="58"/>
      <c r="J148" s="46"/>
      <c r="K148" s="43"/>
      <c r="L148" s="45"/>
      <c r="M148" s="58"/>
      <c r="N148" s="46"/>
      <c r="O148" s="43"/>
      <c r="P148" s="55"/>
      <c r="Q148" s="46"/>
      <c r="R148" s="43"/>
      <c r="S148" s="55"/>
      <c r="T148" s="55"/>
      <c r="U148" s="46"/>
      <c r="V148" s="101">
        <f t="shared" si="11"/>
        <v>0</v>
      </c>
    </row>
    <row r="149" spans="1:22" s="8" customFormat="1" x14ac:dyDescent="0.2">
      <c r="A149" s="50" t="s">
        <v>130</v>
      </c>
      <c r="B149" s="43"/>
      <c r="C149" s="43"/>
      <c r="D149" s="43">
        <v>2471.8014000000003</v>
      </c>
      <c r="E149" s="43"/>
      <c r="F149" s="43"/>
      <c r="G149" s="44"/>
      <c r="H149" s="45"/>
      <c r="I149" s="58">
        <v>5194.21</v>
      </c>
      <c r="J149" s="46">
        <v>7666</v>
      </c>
      <c r="K149" s="43"/>
      <c r="L149" s="45"/>
      <c r="M149" s="58"/>
      <c r="N149" s="46"/>
      <c r="O149" s="43"/>
      <c r="P149" s="55"/>
      <c r="Q149" s="46"/>
      <c r="R149" s="43"/>
      <c r="S149" s="55"/>
      <c r="T149" s="55"/>
      <c r="U149" s="46"/>
      <c r="V149" s="101">
        <f t="shared" si="11"/>
        <v>1.1400000000321597E-2</v>
      </c>
    </row>
    <row r="150" spans="1:22" s="8" customFormat="1" x14ac:dyDescent="0.2">
      <c r="A150" s="50" t="s">
        <v>131</v>
      </c>
      <c r="B150" s="43"/>
      <c r="C150" s="43"/>
      <c r="D150" s="43">
        <v>5671.7503100000004</v>
      </c>
      <c r="E150" s="43"/>
      <c r="F150" s="43"/>
      <c r="G150" s="44"/>
      <c r="H150" s="45"/>
      <c r="I150" s="58">
        <v>5562.25</v>
      </c>
      <c r="J150" s="46">
        <v>11234</v>
      </c>
      <c r="K150" s="43"/>
      <c r="L150" s="45"/>
      <c r="M150" s="58"/>
      <c r="N150" s="46"/>
      <c r="O150" s="43"/>
      <c r="P150" s="55"/>
      <c r="Q150" s="46"/>
      <c r="R150" s="43"/>
      <c r="S150" s="55"/>
      <c r="T150" s="55"/>
      <c r="U150" s="46"/>
      <c r="V150" s="101">
        <f t="shared" si="11"/>
        <v>3.0999999944469891E-4</v>
      </c>
    </row>
    <row r="151" spans="1:22" s="8" customFormat="1" x14ac:dyDescent="0.2">
      <c r="A151" s="50" t="s">
        <v>132</v>
      </c>
      <c r="B151" s="43"/>
      <c r="C151" s="43"/>
      <c r="D151" s="43">
        <v>6694.4742200000001</v>
      </c>
      <c r="E151" s="43">
        <v>1111.8689999999999</v>
      </c>
      <c r="F151" s="43"/>
      <c r="G151" s="44"/>
      <c r="H151" s="45"/>
      <c r="I151" s="58">
        <v>3739.5</v>
      </c>
      <c r="J151" s="46">
        <v>9432</v>
      </c>
      <c r="K151" s="43"/>
      <c r="L151" s="45"/>
      <c r="M151" s="58"/>
      <c r="N151" s="46"/>
      <c r="O151" s="43"/>
      <c r="P151" s="55"/>
      <c r="Q151" s="46"/>
      <c r="R151" s="43"/>
      <c r="S151" s="55"/>
      <c r="T151" s="55"/>
      <c r="U151" s="46"/>
      <c r="V151" s="101">
        <f t="shared" si="11"/>
        <v>-109.89478000000054</v>
      </c>
    </row>
    <row r="152" spans="1:22" s="8" customFormat="1" x14ac:dyDescent="0.2">
      <c r="A152" s="50" t="s">
        <v>133</v>
      </c>
      <c r="B152" s="43"/>
      <c r="C152" s="43"/>
      <c r="D152" s="43">
        <v>59.442999999999998</v>
      </c>
      <c r="E152" s="43"/>
      <c r="F152" s="43"/>
      <c r="G152" s="44"/>
      <c r="H152" s="45"/>
      <c r="I152" s="58">
        <v>8361.56</v>
      </c>
      <c r="J152" s="46">
        <v>8421</v>
      </c>
      <c r="K152" s="43"/>
      <c r="L152" s="45"/>
      <c r="M152" s="58"/>
      <c r="N152" s="46"/>
      <c r="O152" s="43"/>
      <c r="P152" s="55"/>
      <c r="Q152" s="46"/>
      <c r="R152" s="43"/>
      <c r="S152" s="55"/>
      <c r="T152" s="55"/>
      <c r="U152" s="46"/>
      <c r="V152" s="101">
        <f t="shared" si="11"/>
        <v>2.999999998792191E-3</v>
      </c>
    </row>
    <row r="153" spans="1:22" s="8" customFormat="1" x14ac:dyDescent="0.2">
      <c r="A153" s="50" t="s">
        <v>134</v>
      </c>
      <c r="B153" s="43"/>
      <c r="C153" s="43"/>
      <c r="D153" s="43">
        <v>0</v>
      </c>
      <c r="E153" s="43"/>
      <c r="F153" s="43"/>
      <c r="G153" s="44"/>
      <c r="H153" s="45"/>
      <c r="I153" s="58">
        <v>9873</v>
      </c>
      <c r="J153" s="46">
        <v>9873</v>
      </c>
      <c r="K153" s="43"/>
      <c r="L153" s="45"/>
      <c r="M153" s="58"/>
      <c r="N153" s="46"/>
      <c r="O153" s="43"/>
      <c r="P153" s="55"/>
      <c r="Q153" s="46"/>
      <c r="R153" s="43"/>
      <c r="S153" s="55"/>
      <c r="T153" s="55"/>
      <c r="U153" s="46"/>
      <c r="V153" s="101">
        <f t="shared" si="11"/>
        <v>0</v>
      </c>
    </row>
    <row r="154" spans="1:22" s="8" customFormat="1" ht="25.5" x14ac:dyDescent="0.2">
      <c r="A154" s="53" t="s">
        <v>136</v>
      </c>
      <c r="B154" s="43"/>
      <c r="C154" s="43"/>
      <c r="D154" s="43">
        <v>13583.414140000001</v>
      </c>
      <c r="E154" s="43"/>
      <c r="F154" s="43"/>
      <c r="G154" s="44"/>
      <c r="H154" s="45"/>
      <c r="I154" s="58">
        <f>3516.58-3516.58</f>
        <v>0</v>
      </c>
      <c r="J154" s="46">
        <f>17100-3516.58</f>
        <v>13583.42</v>
      </c>
      <c r="K154" s="43"/>
      <c r="L154" s="45"/>
      <c r="M154" s="58"/>
      <c r="N154" s="46"/>
      <c r="O154" s="43"/>
      <c r="P154" s="55"/>
      <c r="Q154" s="46"/>
      <c r="R154" s="43"/>
      <c r="S154" s="55"/>
      <c r="T154" s="55"/>
      <c r="U154" s="46"/>
      <c r="V154" s="101">
        <f t="shared" si="11"/>
        <v>-5.8599999993020901E-3</v>
      </c>
    </row>
    <row r="155" spans="1:22" s="8" customFormat="1" ht="25.5" x14ac:dyDescent="0.2">
      <c r="A155" s="53" t="s">
        <v>153</v>
      </c>
      <c r="B155" s="43"/>
      <c r="C155" s="43"/>
      <c r="D155" s="43"/>
      <c r="E155" s="43"/>
      <c r="F155" s="43"/>
      <c r="G155" s="44"/>
      <c r="H155" s="45"/>
      <c r="I155" s="58">
        <v>5053.58</v>
      </c>
      <c r="J155" s="46"/>
      <c r="K155" s="43"/>
      <c r="L155" s="45"/>
      <c r="M155" s="58"/>
      <c r="N155" s="58">
        <v>5053.5730000000003</v>
      </c>
      <c r="O155" s="43"/>
      <c r="P155" s="55"/>
      <c r="Q155" s="46"/>
      <c r="R155" s="43"/>
      <c r="S155" s="55"/>
      <c r="T155" s="55"/>
      <c r="U155" s="46"/>
      <c r="V155" s="101">
        <f t="shared" si="11"/>
        <v>6.9999999996070983E-3</v>
      </c>
    </row>
    <row r="156" spans="1:22" s="8" customFormat="1" ht="25.5" x14ac:dyDescent="0.2">
      <c r="A156" s="53" t="s">
        <v>154</v>
      </c>
      <c r="B156" s="43"/>
      <c r="C156" s="43"/>
      <c r="D156" s="43"/>
      <c r="E156" s="43"/>
      <c r="F156" s="43"/>
      <c r="G156" s="44"/>
      <c r="H156" s="45"/>
      <c r="I156" s="58">
        <v>5071.6099999999997</v>
      </c>
      <c r="J156" s="46"/>
      <c r="K156" s="43"/>
      <c r="L156" s="45"/>
      <c r="M156" s="58"/>
      <c r="N156" s="58">
        <v>5071.6019999999999</v>
      </c>
      <c r="O156" s="43"/>
      <c r="P156" s="55"/>
      <c r="Q156" s="46"/>
      <c r="R156" s="43"/>
      <c r="S156" s="55"/>
      <c r="T156" s="55"/>
      <c r="U156" s="46"/>
      <c r="V156" s="101">
        <f t="shared" si="11"/>
        <v>7.9999999998108251E-3</v>
      </c>
    </row>
    <row r="157" spans="1:22" s="8" customFormat="1" ht="47.25" customHeight="1" x14ac:dyDescent="0.2">
      <c r="A157" s="53" t="s">
        <v>198</v>
      </c>
      <c r="B157" s="43"/>
      <c r="C157" s="43"/>
      <c r="D157" s="43"/>
      <c r="E157" s="43"/>
      <c r="F157" s="43"/>
      <c r="G157" s="45"/>
      <c r="H157" s="45"/>
      <c r="I157" s="58"/>
      <c r="J157" s="46"/>
      <c r="K157" s="43"/>
      <c r="L157" s="45">
        <v>18821</v>
      </c>
      <c r="M157" s="58"/>
      <c r="N157" s="58"/>
      <c r="O157" s="43"/>
      <c r="P157" s="55"/>
      <c r="Q157" s="58"/>
      <c r="R157" s="43"/>
      <c r="S157" s="55"/>
      <c r="T157" s="55"/>
      <c r="U157" s="46"/>
      <c r="V157" s="101"/>
    </row>
    <row r="158" spans="1:22" s="8" customFormat="1" ht="47.25" customHeight="1" x14ac:dyDescent="0.2">
      <c r="A158" s="53" t="s">
        <v>199</v>
      </c>
      <c r="B158" s="43"/>
      <c r="C158" s="43"/>
      <c r="D158" s="43"/>
      <c r="E158" s="43"/>
      <c r="F158" s="43"/>
      <c r="G158" s="45"/>
      <c r="H158" s="45"/>
      <c r="I158" s="58"/>
      <c r="J158" s="46"/>
      <c r="K158" s="43"/>
      <c r="L158" s="45">
        <v>14319</v>
      </c>
      <c r="M158" s="58"/>
      <c r="N158" s="58"/>
      <c r="O158" s="43"/>
      <c r="P158" s="55"/>
      <c r="Q158" s="58"/>
      <c r="R158" s="43"/>
      <c r="S158" s="55"/>
      <c r="T158" s="55"/>
      <c r="U158" s="46"/>
      <c r="V158" s="101"/>
    </row>
    <row r="159" spans="1:22" s="8" customFormat="1" ht="47.25" customHeight="1" x14ac:dyDescent="0.2">
      <c r="A159" s="53" t="s">
        <v>200</v>
      </c>
      <c r="B159" s="43"/>
      <c r="C159" s="43"/>
      <c r="D159" s="43"/>
      <c r="E159" s="43"/>
      <c r="F159" s="43"/>
      <c r="G159" s="45"/>
      <c r="H159" s="45"/>
      <c r="I159" s="58"/>
      <c r="J159" s="46"/>
      <c r="K159" s="43"/>
      <c r="L159" s="45">
        <v>7079</v>
      </c>
      <c r="M159" s="58"/>
      <c r="N159" s="58"/>
      <c r="O159" s="43"/>
      <c r="P159" s="55"/>
      <c r="Q159" s="58"/>
      <c r="R159" s="43"/>
      <c r="S159" s="55"/>
      <c r="T159" s="55"/>
      <c r="U159" s="46"/>
      <c r="V159" s="101"/>
    </row>
    <row r="160" spans="1:22" s="8" customFormat="1" ht="47.25" customHeight="1" x14ac:dyDescent="0.2">
      <c r="A160" s="53" t="s">
        <v>162</v>
      </c>
      <c r="B160" s="43"/>
      <c r="C160" s="43"/>
      <c r="D160" s="43"/>
      <c r="E160" s="43"/>
      <c r="F160" s="43"/>
      <c r="G160" s="45"/>
      <c r="H160" s="45"/>
      <c r="I160" s="58"/>
      <c r="J160" s="46"/>
      <c r="K160" s="43"/>
      <c r="L160" s="45">
        <v>2898</v>
      </c>
      <c r="M160" s="58">
        <v>2307.08</v>
      </c>
      <c r="N160" s="58"/>
      <c r="O160" s="43"/>
      <c r="P160" s="55"/>
      <c r="Q160" s="58">
        <v>2307.08</v>
      </c>
      <c r="R160" s="43"/>
      <c r="S160" s="55"/>
      <c r="T160" s="55"/>
      <c r="U160" s="46"/>
      <c r="V160" s="101">
        <f>C160+D160+I160+M160+P160+T160-E160-J160-N160-Q160-U160</f>
        <v>0</v>
      </c>
    </row>
    <row r="161" spans="1:22" s="8" customFormat="1" ht="42.75" customHeight="1" x14ac:dyDescent="0.2">
      <c r="A161" s="53" t="s">
        <v>163</v>
      </c>
      <c r="B161" s="43"/>
      <c r="C161" s="43"/>
      <c r="D161" s="43"/>
      <c r="E161" s="43"/>
      <c r="F161" s="43"/>
      <c r="G161" s="45"/>
      <c r="H161" s="45"/>
      <c r="I161" s="58"/>
      <c r="J161" s="46"/>
      <c r="K161" s="43"/>
      <c r="L161" s="45">
        <v>19624</v>
      </c>
      <c r="M161" s="58">
        <v>19490.73</v>
      </c>
      <c r="N161" s="58"/>
      <c r="O161" s="43"/>
      <c r="P161" s="55"/>
      <c r="Q161" s="58">
        <v>19490.73</v>
      </c>
      <c r="R161" s="43"/>
      <c r="S161" s="55"/>
      <c r="T161" s="55"/>
      <c r="U161" s="46"/>
      <c r="V161" s="101">
        <f>C161+D161+I161+M161+P161+T161-E161-J161-N161-Q161-U161</f>
        <v>0</v>
      </c>
    </row>
    <row r="162" spans="1:22" s="8" customFormat="1" ht="42.75" customHeight="1" x14ac:dyDescent="0.2">
      <c r="A162" s="53" t="s">
        <v>164</v>
      </c>
      <c r="B162" s="43"/>
      <c r="C162" s="43"/>
      <c r="D162" s="43"/>
      <c r="E162" s="43"/>
      <c r="F162" s="43"/>
      <c r="G162" s="45"/>
      <c r="H162" s="45"/>
      <c r="I162" s="58"/>
      <c r="J162" s="46"/>
      <c r="K162" s="43"/>
      <c r="L162" s="45">
        <v>7371</v>
      </c>
      <c r="M162" s="58">
        <v>3969.08</v>
      </c>
      <c r="N162" s="58"/>
      <c r="O162" s="43"/>
      <c r="P162" s="55"/>
      <c r="Q162" s="58">
        <v>3969.08</v>
      </c>
      <c r="R162" s="43"/>
      <c r="S162" s="55"/>
      <c r="T162" s="55"/>
      <c r="U162" s="46"/>
      <c r="V162" s="101">
        <f>C162+D162+I162+M162+P162+T162-E162-J162-N162-Q162-U162</f>
        <v>0</v>
      </c>
    </row>
    <row r="163" spans="1:22" s="8" customFormat="1" x14ac:dyDescent="0.2">
      <c r="A163" s="17" t="s">
        <v>138</v>
      </c>
      <c r="B163" s="25">
        <f t="shared" ref="B163:U163" si="12">SUM(B129:B162)</f>
        <v>0</v>
      </c>
      <c r="C163" s="25">
        <f t="shared" si="12"/>
        <v>24350.584500000001</v>
      </c>
      <c r="D163" s="25">
        <f t="shared" si="12"/>
        <v>148609.02007999999</v>
      </c>
      <c r="E163" s="25">
        <f t="shared" si="12"/>
        <v>50290.154999999999</v>
      </c>
      <c r="F163" s="25">
        <f t="shared" si="12"/>
        <v>0</v>
      </c>
      <c r="G163" s="25">
        <f t="shared" si="12"/>
        <v>0</v>
      </c>
      <c r="H163" s="25">
        <f t="shared" si="12"/>
        <v>0</v>
      </c>
      <c r="I163" s="25">
        <f t="shared" si="12"/>
        <v>121634.25000000001</v>
      </c>
      <c r="J163" s="25">
        <f t="shared" si="12"/>
        <v>183036.73</v>
      </c>
      <c r="K163" s="25">
        <f t="shared" si="12"/>
        <v>0</v>
      </c>
      <c r="L163" s="25">
        <f t="shared" si="12"/>
        <v>70112</v>
      </c>
      <c r="M163" s="25">
        <f t="shared" si="12"/>
        <v>25766.89</v>
      </c>
      <c r="N163" s="25">
        <f t="shared" si="12"/>
        <v>62662.595000000001</v>
      </c>
      <c r="O163" s="25">
        <f t="shared" si="12"/>
        <v>0</v>
      </c>
      <c r="P163" s="25">
        <f t="shared" si="12"/>
        <v>0</v>
      </c>
      <c r="Q163" s="25">
        <f t="shared" si="12"/>
        <v>25766.89</v>
      </c>
      <c r="R163" s="25">
        <f t="shared" si="12"/>
        <v>0</v>
      </c>
      <c r="S163" s="25">
        <f t="shared" si="12"/>
        <v>0</v>
      </c>
      <c r="T163" s="25">
        <f t="shared" si="12"/>
        <v>0</v>
      </c>
      <c r="U163" s="25">
        <f t="shared" si="12"/>
        <v>0</v>
      </c>
      <c r="V163" s="101">
        <f>C163+D163+I163+M163+P163+T163-E163-J163-N163-Q163-U163</f>
        <v>-1395.6254199999821</v>
      </c>
    </row>
    <row r="164" spans="1:22" s="8" customFormat="1" x14ac:dyDescent="0.2">
      <c r="A164" s="2"/>
      <c r="B164" s="29"/>
      <c r="C164" s="29"/>
      <c r="D164" s="29"/>
      <c r="E164" s="29"/>
      <c r="F164" s="29"/>
      <c r="G164" s="3"/>
      <c r="H164" s="3"/>
      <c r="I164" s="3"/>
      <c r="J164" s="64"/>
      <c r="K164" s="29"/>
      <c r="L164" s="3"/>
      <c r="M164" s="3"/>
      <c r="N164" s="30"/>
      <c r="O164" s="29"/>
      <c r="P164" s="3"/>
      <c r="Q164" s="30"/>
      <c r="R164" s="29"/>
      <c r="S164" s="3"/>
      <c r="T164" s="3"/>
      <c r="U164" s="30"/>
      <c r="V164" s="101">
        <f t="shared" ref="V164:V167" si="13">C164+D164+I164+M164+P164+T164-E164-J164-N164-Q164-U164</f>
        <v>0</v>
      </c>
    </row>
    <row r="165" spans="1:22" s="8" customFormat="1" ht="13.5" thickBot="1" x14ac:dyDescent="0.25">
      <c r="A165" s="13" t="s">
        <v>6</v>
      </c>
      <c r="B165" s="48">
        <v>0</v>
      </c>
      <c r="C165" s="48">
        <v>484254.09123000002</v>
      </c>
      <c r="D165" s="48">
        <f t="shared" ref="D165:U165" si="14">SUM(D163,D126,D124,D119,D116,D106,D63,D50,D35)</f>
        <v>460897.52007999999</v>
      </c>
      <c r="E165" s="48">
        <f t="shared" si="14"/>
        <v>382266.45500000002</v>
      </c>
      <c r="F165" s="48">
        <f t="shared" si="14"/>
        <v>199479.2</v>
      </c>
      <c r="G165" s="48">
        <f t="shared" si="14"/>
        <v>1028.5999999999999</v>
      </c>
      <c r="H165" s="48">
        <f t="shared" si="14"/>
        <v>535700.73</v>
      </c>
      <c r="I165" s="48">
        <f t="shared" si="14"/>
        <v>536250.49</v>
      </c>
      <c r="J165" s="48">
        <f t="shared" si="14"/>
        <v>660899.56000000006</v>
      </c>
      <c r="K165" s="48">
        <f t="shared" si="14"/>
        <v>0</v>
      </c>
      <c r="L165" s="48">
        <f t="shared" si="14"/>
        <v>1106784</v>
      </c>
      <c r="M165" s="48">
        <f t="shared" si="14"/>
        <v>970165.47</v>
      </c>
      <c r="N165" s="48">
        <f t="shared" si="14"/>
        <v>530088.59499999997</v>
      </c>
      <c r="O165" s="48">
        <f t="shared" si="14"/>
        <v>858552</v>
      </c>
      <c r="P165" s="48">
        <f t="shared" si="14"/>
        <v>536848</v>
      </c>
      <c r="Q165" s="48">
        <f t="shared" si="14"/>
        <v>1113691.8900000001</v>
      </c>
      <c r="R165" s="48">
        <f t="shared" si="14"/>
        <v>168710</v>
      </c>
      <c r="S165" s="48">
        <f t="shared" si="14"/>
        <v>0</v>
      </c>
      <c r="T165" s="48">
        <f t="shared" si="14"/>
        <v>0</v>
      </c>
      <c r="U165" s="48">
        <f t="shared" si="14"/>
        <v>297500</v>
      </c>
      <c r="V165" s="101">
        <f t="shared" si="13"/>
        <v>3969.0713099997956</v>
      </c>
    </row>
    <row r="166" spans="1:22" x14ac:dyDescent="0.2">
      <c r="V166" s="101">
        <f t="shared" si="13"/>
        <v>0</v>
      </c>
    </row>
    <row r="167" spans="1:22" s="8" customFormat="1" x14ac:dyDescent="0.2">
      <c r="A167" s="137" t="s">
        <v>201</v>
      </c>
      <c r="B167" s="43"/>
      <c r="C167" s="43"/>
      <c r="D167" s="43"/>
      <c r="E167" s="43"/>
      <c r="F167" s="43"/>
      <c r="G167" s="45"/>
      <c r="H167" s="45"/>
      <c r="I167" s="58"/>
      <c r="J167" s="46"/>
      <c r="K167" s="43"/>
      <c r="L167" s="45"/>
      <c r="M167" s="138">
        <v>8500</v>
      </c>
      <c r="N167" s="58"/>
      <c r="O167" s="43"/>
      <c r="P167" s="138">
        <v>397875</v>
      </c>
      <c r="Q167" s="138">
        <v>80000</v>
      </c>
      <c r="R167" s="43"/>
      <c r="S167" s="55"/>
      <c r="T167" s="55"/>
      <c r="U167" s="138">
        <v>326375</v>
      </c>
      <c r="V167" s="101">
        <f t="shared" si="13"/>
        <v>0</v>
      </c>
    </row>
    <row r="168" spans="1:22" s="8" customFormat="1" x14ac:dyDescent="0.2">
      <c r="A168" s="4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01"/>
    </row>
    <row r="169" spans="1:22" s="14" customFormat="1" x14ac:dyDescent="0.2">
      <c r="A169" s="4"/>
      <c r="B169" s="4">
        <v>2019</v>
      </c>
      <c r="C169" s="4">
        <v>2020</v>
      </c>
      <c r="D169" s="4">
        <v>2021</v>
      </c>
      <c r="E169" s="4">
        <v>2022</v>
      </c>
      <c r="F169" s="4">
        <v>2023</v>
      </c>
      <c r="G169" s="4">
        <v>2024</v>
      </c>
      <c r="H169" s="4" t="s">
        <v>146</v>
      </c>
    </row>
    <row r="170" spans="1:22" s="14" customFormat="1" ht="13.5" thickBot="1" x14ac:dyDescent="0.25">
      <c r="A170" s="76" t="s">
        <v>33</v>
      </c>
      <c r="B170" s="77"/>
      <c r="C170" s="77"/>
      <c r="D170" s="77">
        <f>F165</f>
        <v>199479.2</v>
      </c>
      <c r="E170" s="77"/>
      <c r="F170" s="77"/>
      <c r="G170" s="77"/>
      <c r="H170" s="77">
        <f>SUM(B170:G170)</f>
        <v>199479.2</v>
      </c>
    </row>
    <row r="171" spans="1:22" s="14" customFormat="1" ht="13.5" thickBot="1" x14ac:dyDescent="0.25">
      <c r="A171" s="117" t="s">
        <v>152</v>
      </c>
      <c r="B171" s="114"/>
      <c r="C171" s="114"/>
      <c r="D171" s="114">
        <f>H165</f>
        <v>535700.73</v>
      </c>
      <c r="E171" s="114">
        <f>L165</f>
        <v>1106784</v>
      </c>
      <c r="F171" s="114">
        <f>O165</f>
        <v>858552</v>
      </c>
      <c r="G171" s="114">
        <f>R165</f>
        <v>168710</v>
      </c>
      <c r="H171" s="115">
        <f t="shared" ref="H171:H173" si="15">SUM(B171:G171)</f>
        <v>2669746.73</v>
      </c>
      <c r="I171" s="88">
        <f>H171-3000000</f>
        <v>-330253.27</v>
      </c>
    </row>
    <row r="172" spans="1:22" s="14" customFormat="1" ht="13.5" thickBot="1" x14ac:dyDescent="0.25">
      <c r="A172" s="112"/>
      <c r="B172" s="113"/>
      <c r="C172" s="113"/>
      <c r="D172" s="113"/>
      <c r="E172" s="113"/>
      <c r="F172" s="113"/>
      <c r="G172" s="113"/>
      <c r="H172" s="113"/>
    </row>
    <row r="173" spans="1:22" s="14" customFormat="1" x14ac:dyDescent="0.2">
      <c r="A173" s="78" t="s">
        <v>145</v>
      </c>
      <c r="B173" s="79">
        <f>C165</f>
        <v>484254.09123000002</v>
      </c>
      <c r="C173" s="79">
        <f>D165</f>
        <v>460897.52007999999</v>
      </c>
      <c r="D173" s="79">
        <f>G165+I165</f>
        <v>537279.09</v>
      </c>
      <c r="E173" s="79">
        <f>M165+M167</f>
        <v>978665.47</v>
      </c>
      <c r="F173" s="79">
        <f>P165+P167</f>
        <v>934723</v>
      </c>
      <c r="G173" s="79">
        <f>T165</f>
        <v>0</v>
      </c>
      <c r="H173" s="80">
        <f t="shared" si="15"/>
        <v>3395819.1713100001</v>
      </c>
    </row>
    <row r="174" spans="1:22" s="14" customFormat="1" x14ac:dyDescent="0.2">
      <c r="A174" s="81" t="s">
        <v>141</v>
      </c>
      <c r="B174" s="10"/>
      <c r="C174" s="10">
        <f>E165</f>
        <v>382266.45500000002</v>
      </c>
      <c r="D174" s="10">
        <f>J165</f>
        <v>660899.56000000006</v>
      </c>
      <c r="E174" s="10">
        <f>N165</f>
        <v>530088.59499999997</v>
      </c>
      <c r="F174" s="10">
        <f>Q165+Q167</f>
        <v>1193691.8900000001</v>
      </c>
      <c r="G174" s="10">
        <f>U165+S127+U167</f>
        <v>623875</v>
      </c>
      <c r="H174" s="82">
        <f>SUM(B174:G174)</f>
        <v>3390821.5</v>
      </c>
      <c r="I174" s="14">
        <f>H173-H174</f>
        <v>4997.6713100001216</v>
      </c>
    </row>
    <row r="175" spans="1:22" s="14" customFormat="1" ht="13.5" thickBot="1" x14ac:dyDescent="0.25">
      <c r="A175" s="118" t="s">
        <v>150</v>
      </c>
      <c r="B175" s="84"/>
      <c r="C175" s="85">
        <f>B173+C173-C174</f>
        <v>562885.15630999999</v>
      </c>
      <c r="D175" s="85">
        <f>C175+D173-D174</f>
        <v>439264.68630999979</v>
      </c>
      <c r="E175" s="85">
        <f>D175+E173-E174</f>
        <v>887841.56130999979</v>
      </c>
      <c r="F175" s="85">
        <f t="shared" ref="F175:G175" si="16">E175+F173-F174</f>
        <v>628872.67130999966</v>
      </c>
      <c r="G175" s="116">
        <f t="shared" si="16"/>
        <v>4997.6713099996559</v>
      </c>
      <c r="H175" s="86"/>
    </row>
    <row r="177" spans="1:22" ht="13.5" thickBot="1" x14ac:dyDescent="0.25">
      <c r="A177" s="4" t="s">
        <v>196</v>
      </c>
    </row>
    <row r="178" spans="1:22" x14ac:dyDescent="0.2">
      <c r="A178" s="78" t="s">
        <v>145</v>
      </c>
      <c r="B178" s="79">
        <v>675307.23774000001</v>
      </c>
      <c r="C178" s="79">
        <v>312288.5</v>
      </c>
      <c r="D178" s="79">
        <f>1028.6+414616.24</f>
        <v>415644.83999999997</v>
      </c>
      <c r="E178" s="79">
        <f>1022914</f>
        <v>1022914</v>
      </c>
      <c r="F178" s="79">
        <f>925796</f>
        <v>925796</v>
      </c>
      <c r="G178" s="79">
        <v>12400</v>
      </c>
      <c r="H178" s="80">
        <f t="shared" ref="H178" si="17">SUM(B178:G178)</f>
        <v>3364350.5777400001</v>
      </c>
    </row>
    <row r="179" spans="1:22" x14ac:dyDescent="0.2">
      <c r="A179" s="81" t="s">
        <v>141</v>
      </c>
      <c r="B179" s="10">
        <v>215403.73100999999</v>
      </c>
      <c r="C179" s="10">
        <v>331976.3</v>
      </c>
      <c r="D179" s="10">
        <f>477862.83</f>
        <v>477862.83</v>
      </c>
      <c r="E179" s="10">
        <f>487426</f>
        <v>487426</v>
      </c>
      <c r="F179" s="10">
        <f>1703073</f>
        <v>1703073</v>
      </c>
      <c r="G179" s="10">
        <v>142215</v>
      </c>
      <c r="H179" s="82">
        <f>SUM(B179:G179)</f>
        <v>3357956.8610100001</v>
      </c>
    </row>
    <row r="180" spans="1:22" ht="13.5" thickBot="1" x14ac:dyDescent="0.25">
      <c r="A180" s="83" t="s">
        <v>150</v>
      </c>
      <c r="B180" s="85">
        <f>B178-B179</f>
        <v>459903.50673000002</v>
      </c>
      <c r="C180" s="85">
        <f>B180+C178-C179</f>
        <v>440215.70673000003</v>
      </c>
      <c r="D180" s="85">
        <f>C180+D178-D179</f>
        <v>377997.71673000004</v>
      </c>
      <c r="E180" s="85">
        <f>D180+E178-E179</f>
        <v>913485.71672999999</v>
      </c>
      <c r="F180" s="85">
        <f t="shared" ref="F180:G180" si="18">E180+F178-F179</f>
        <v>136208.71672999999</v>
      </c>
      <c r="G180" s="85">
        <f t="shared" si="18"/>
        <v>6393.7167299999855</v>
      </c>
      <c r="H180" s="86"/>
    </row>
    <row r="182" spans="1:22" s="14" customFormat="1" ht="13.5" thickBot="1" x14ac:dyDescent="0.25">
      <c r="A182" s="4" t="s">
        <v>197</v>
      </c>
      <c r="V182" s="4"/>
    </row>
    <row r="183" spans="1:22" s="14" customFormat="1" x14ac:dyDescent="0.2">
      <c r="A183" s="78" t="s">
        <v>145</v>
      </c>
      <c r="B183" s="79">
        <v>24350.584500000001</v>
      </c>
      <c r="C183" s="79">
        <v>148609.01999999999</v>
      </c>
      <c r="D183" s="79">
        <f>121634.25</f>
        <v>121634.25</v>
      </c>
      <c r="E183" s="79">
        <f>25766.89</f>
        <v>25766.89</v>
      </c>
      <c r="F183" s="79">
        <v>0</v>
      </c>
      <c r="G183" s="79">
        <v>0</v>
      </c>
      <c r="H183" s="80">
        <f t="shared" ref="H183" si="19">SUM(B183:G183)</f>
        <v>320360.74450000003</v>
      </c>
      <c r="V183" s="4"/>
    </row>
    <row r="184" spans="1:22" s="14" customFormat="1" x14ac:dyDescent="0.2">
      <c r="A184" s="81" t="s">
        <v>141</v>
      </c>
      <c r="B184" s="10">
        <v>0</v>
      </c>
      <c r="C184" s="10">
        <v>50290.16</v>
      </c>
      <c r="D184" s="10">
        <v>183036.73</v>
      </c>
      <c r="E184" s="10">
        <f>62662.6</f>
        <v>62662.6</v>
      </c>
      <c r="F184" s="10">
        <f>25766.89</f>
        <v>25766.89</v>
      </c>
      <c r="G184" s="10">
        <v>0</v>
      </c>
      <c r="H184" s="82">
        <f>SUM(B184:G184)</f>
        <v>321756.38</v>
      </c>
      <c r="V184" s="4"/>
    </row>
    <row r="185" spans="1:22" s="14" customFormat="1" ht="13.5" thickBot="1" x14ac:dyDescent="0.25">
      <c r="A185" s="83" t="s">
        <v>150</v>
      </c>
      <c r="B185" s="84">
        <f>B183-B184</f>
        <v>24350.584500000001</v>
      </c>
      <c r="C185" s="85">
        <f>B185+C183-C184</f>
        <v>122669.44449999998</v>
      </c>
      <c r="D185" s="85">
        <f>C185+D183-D184</f>
        <v>61266.964499999973</v>
      </c>
      <c r="E185" s="85">
        <f>D185+E183-E184</f>
        <v>24371.254499999974</v>
      </c>
      <c r="F185" s="85">
        <f t="shared" ref="F185:G185" si="20">E185+F183-F184</f>
        <v>-1395.6355000000258</v>
      </c>
      <c r="G185" s="85">
        <f t="shared" si="20"/>
        <v>-1395.6355000000258</v>
      </c>
      <c r="H185" s="86"/>
      <c r="V185" s="4"/>
    </row>
  </sheetData>
  <autoFilter ref="A1:U119" xr:uid="{4ABA3BC3-8023-4B4C-A20D-DE4822BA870B}"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5">
    <mergeCell ref="A1:A2"/>
    <mergeCell ref="F1:J1"/>
    <mergeCell ref="K1:N1"/>
    <mergeCell ref="O1:Q1"/>
    <mergeCell ref="R1:U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A11FC-9812-4D3E-8628-410FA8D4195A}">
  <sheetPr>
    <tabColor theme="0"/>
  </sheetPr>
  <dimension ref="A1:AH199"/>
  <sheetViews>
    <sheetView workbookViewId="0">
      <selection sqref="A1:A2"/>
    </sheetView>
  </sheetViews>
  <sheetFormatPr defaultColWidth="9.140625" defaultRowHeight="12.75" x14ac:dyDescent="0.2"/>
  <cols>
    <col min="1" max="1" width="52.42578125" style="4" customWidth="1"/>
    <col min="2" max="33" width="14.7109375" style="14" customWidth="1"/>
    <col min="34" max="34" width="12.7109375" style="4" customWidth="1"/>
    <col min="35" max="16384" width="9.140625" style="4"/>
  </cols>
  <sheetData>
    <row r="1" spans="1:34" ht="21" customHeight="1" thickBot="1" x14ac:dyDescent="0.25">
      <c r="A1" s="372" t="s">
        <v>0</v>
      </c>
      <c r="B1" s="71">
        <v>2018</v>
      </c>
      <c r="C1" s="71" t="s">
        <v>149</v>
      </c>
      <c r="D1" s="71" t="s">
        <v>147</v>
      </c>
      <c r="E1" s="71" t="s">
        <v>148</v>
      </c>
      <c r="F1" s="367" t="s">
        <v>113</v>
      </c>
      <c r="G1" s="370"/>
      <c r="H1" s="370"/>
      <c r="I1" s="370"/>
      <c r="J1" s="377"/>
      <c r="K1" s="367" t="s">
        <v>114</v>
      </c>
      <c r="L1" s="370"/>
      <c r="M1" s="370"/>
      <c r="N1" s="369"/>
      <c r="O1" s="368" t="s">
        <v>115</v>
      </c>
      <c r="P1" s="376"/>
      <c r="Q1" s="376"/>
      <c r="R1" s="376"/>
      <c r="S1" s="381" t="s">
        <v>116</v>
      </c>
      <c r="T1" s="382"/>
      <c r="U1" s="382"/>
      <c r="V1" s="382"/>
      <c r="W1" s="382"/>
      <c r="X1" s="383"/>
      <c r="Y1" s="378" t="s">
        <v>204</v>
      </c>
      <c r="Z1" s="379"/>
      <c r="AA1" s="380"/>
      <c r="AB1" s="368" t="s">
        <v>218</v>
      </c>
      <c r="AC1" s="368"/>
      <c r="AD1" s="376"/>
      <c r="AE1" s="374" t="s">
        <v>219</v>
      </c>
      <c r="AF1" s="368"/>
      <c r="AG1" s="376"/>
    </row>
    <row r="2" spans="1:34" ht="25.5" x14ac:dyDescent="0.2">
      <c r="A2" s="373"/>
      <c r="B2" s="21"/>
      <c r="C2" s="21"/>
      <c r="D2" s="21"/>
      <c r="E2" s="212"/>
      <c r="F2" s="21" t="s">
        <v>143</v>
      </c>
      <c r="G2" s="75" t="s">
        <v>36</v>
      </c>
      <c r="H2" s="5" t="s">
        <v>152</v>
      </c>
      <c r="I2" s="5" t="s">
        <v>139</v>
      </c>
      <c r="J2" s="57" t="s">
        <v>140</v>
      </c>
      <c r="K2" s="21" t="s">
        <v>143</v>
      </c>
      <c r="L2" s="5" t="s">
        <v>152</v>
      </c>
      <c r="M2" s="5" t="s">
        <v>139</v>
      </c>
      <c r="N2" s="22" t="s">
        <v>140</v>
      </c>
      <c r="O2" s="188" t="s">
        <v>143</v>
      </c>
      <c r="P2" s="5" t="s">
        <v>152</v>
      </c>
      <c r="Q2" s="188" t="s">
        <v>139</v>
      </c>
      <c r="R2" s="57" t="s">
        <v>140</v>
      </c>
      <c r="S2" s="21" t="s">
        <v>143</v>
      </c>
      <c r="T2" s="5" t="s">
        <v>152</v>
      </c>
      <c r="U2" s="5" t="s">
        <v>139</v>
      </c>
      <c r="V2" s="196" t="s">
        <v>214</v>
      </c>
      <c r="W2" s="5" t="s">
        <v>140</v>
      </c>
      <c r="X2" s="168" t="s">
        <v>213</v>
      </c>
      <c r="Y2" s="204" t="s">
        <v>143</v>
      </c>
      <c r="Z2" s="197" t="s">
        <v>214</v>
      </c>
      <c r="AA2" s="198" t="s">
        <v>213</v>
      </c>
      <c r="AB2" s="158" t="s">
        <v>220</v>
      </c>
      <c r="AC2" s="140" t="s">
        <v>214</v>
      </c>
      <c r="AD2" s="140" t="s">
        <v>213</v>
      </c>
      <c r="AE2" s="21" t="s">
        <v>220</v>
      </c>
      <c r="AF2" s="140" t="s">
        <v>214</v>
      </c>
      <c r="AG2" s="140" t="s">
        <v>213</v>
      </c>
    </row>
    <row r="3" spans="1:34" s="37" customFormat="1" x14ac:dyDescent="0.2">
      <c r="A3" s="128" t="s">
        <v>94</v>
      </c>
      <c r="B3" s="43"/>
      <c r="C3" s="43"/>
      <c r="D3" s="43"/>
      <c r="E3" s="213"/>
      <c r="F3" s="43"/>
      <c r="G3" s="44"/>
      <c r="H3" s="45"/>
      <c r="I3" s="45">
        <v>43590</v>
      </c>
      <c r="J3" s="58"/>
      <c r="K3" s="43"/>
      <c r="L3" s="45"/>
      <c r="M3" s="45">
        <v>9800</v>
      </c>
      <c r="N3" s="46">
        <v>53390</v>
      </c>
      <c r="O3" s="55"/>
      <c r="P3" s="45"/>
      <c r="Q3" s="146"/>
      <c r="R3" s="58"/>
      <c r="S3" s="43"/>
      <c r="T3" s="45"/>
      <c r="U3" s="45"/>
      <c r="V3" s="45"/>
      <c r="W3" s="45"/>
      <c r="X3" s="46"/>
      <c r="Y3" s="146"/>
      <c r="Z3" s="45"/>
      <c r="AA3" s="46"/>
      <c r="AB3" s="146"/>
      <c r="AC3" s="45"/>
      <c r="AD3" s="45"/>
      <c r="AE3" s="43"/>
      <c r="AF3" s="45"/>
      <c r="AG3" s="45"/>
      <c r="AH3" s="101">
        <f t="shared" ref="AH3:AH33" si="0">C3+D3+I3+M3+Q3+U3-E3-J3-N3-R3-W3</f>
        <v>0</v>
      </c>
    </row>
    <row r="4" spans="1:34" s="37" customFormat="1" x14ac:dyDescent="0.2">
      <c r="A4" s="122" t="s">
        <v>95</v>
      </c>
      <c r="B4" s="43"/>
      <c r="C4" s="43"/>
      <c r="D4" s="43"/>
      <c r="E4" s="213"/>
      <c r="F4" s="43"/>
      <c r="G4" s="44"/>
      <c r="H4" s="45"/>
      <c r="I4" s="45"/>
      <c r="J4" s="58"/>
      <c r="K4" s="43"/>
      <c r="L4" s="45"/>
      <c r="M4" s="120"/>
      <c r="N4" s="46"/>
      <c r="O4" s="55"/>
      <c r="P4" s="45"/>
      <c r="Q4" s="162">
        <v>37000</v>
      </c>
      <c r="R4" s="123"/>
      <c r="S4" s="43"/>
      <c r="T4" s="45"/>
      <c r="U4" s="45"/>
      <c r="V4" s="67">
        <v>128000</v>
      </c>
      <c r="W4" s="120">
        <v>37000</v>
      </c>
      <c r="X4" s="121"/>
      <c r="Y4" s="162"/>
      <c r="Z4" s="45">
        <v>60500</v>
      </c>
      <c r="AA4" s="46">
        <v>128000</v>
      </c>
      <c r="AB4" s="146"/>
      <c r="AC4" s="45"/>
      <c r="AD4" s="45">
        <v>60500</v>
      </c>
      <c r="AE4" s="43"/>
      <c r="AF4" s="45"/>
      <c r="AG4" s="45"/>
      <c r="AH4" s="101">
        <f t="shared" si="0"/>
        <v>0</v>
      </c>
    </row>
    <row r="5" spans="1:34" s="37" customFormat="1" x14ac:dyDescent="0.2">
      <c r="A5" s="38" t="s">
        <v>202</v>
      </c>
      <c r="B5" s="43"/>
      <c r="C5" s="43"/>
      <c r="D5" s="43"/>
      <c r="E5" s="213"/>
      <c r="F5" s="43"/>
      <c r="G5" s="44"/>
      <c r="H5" s="45"/>
      <c r="I5" s="45"/>
      <c r="J5" s="58"/>
      <c r="K5" s="43"/>
      <c r="L5" s="45"/>
      <c r="M5" s="45">
        <v>24000</v>
      </c>
      <c r="N5" s="46"/>
      <c r="O5" s="55"/>
      <c r="P5" s="45"/>
      <c r="Q5" s="162">
        <v>70500</v>
      </c>
      <c r="R5" s="123">
        <v>24000</v>
      </c>
      <c r="S5" s="43"/>
      <c r="T5" s="45"/>
      <c r="U5" s="45"/>
      <c r="V5" s="67">
        <v>75700</v>
      </c>
      <c r="W5" s="120">
        <v>70500</v>
      </c>
      <c r="X5" s="121"/>
      <c r="Y5" s="162"/>
      <c r="Z5" s="45">
        <v>86000</v>
      </c>
      <c r="AA5" s="46">
        <v>75700</v>
      </c>
      <c r="AB5" s="146"/>
      <c r="AC5" s="45"/>
      <c r="AD5" s="45">
        <v>86000</v>
      </c>
      <c r="AE5" s="43"/>
      <c r="AF5" s="45"/>
      <c r="AG5" s="45"/>
      <c r="AH5" s="101">
        <f t="shared" si="0"/>
        <v>0</v>
      </c>
    </row>
    <row r="6" spans="1:34" s="37" customFormat="1" ht="25.5" x14ac:dyDescent="0.2">
      <c r="A6" s="128" t="s">
        <v>96</v>
      </c>
      <c r="B6" s="43"/>
      <c r="C6" s="43"/>
      <c r="D6" s="43"/>
      <c r="E6" s="213"/>
      <c r="F6" s="43"/>
      <c r="G6" s="44"/>
      <c r="H6" s="45"/>
      <c r="I6" s="45">
        <v>0</v>
      </c>
      <c r="J6" s="58"/>
      <c r="K6" s="43"/>
      <c r="L6" s="45"/>
      <c r="M6" s="45">
        <v>61600</v>
      </c>
      <c r="N6" s="46">
        <v>0</v>
      </c>
      <c r="O6" s="55"/>
      <c r="P6" s="45"/>
      <c r="Q6" s="146"/>
      <c r="R6" s="58">
        <v>61600</v>
      </c>
      <c r="S6" s="43"/>
      <c r="T6" s="45"/>
      <c r="U6" s="45"/>
      <c r="V6" s="45"/>
      <c r="W6" s="45"/>
      <c r="X6" s="46"/>
      <c r="Y6" s="146"/>
      <c r="Z6" s="45"/>
      <c r="AA6" s="46"/>
      <c r="AB6" s="146"/>
      <c r="AC6" s="45"/>
      <c r="AD6" s="45"/>
      <c r="AE6" s="43"/>
      <c r="AF6" s="45"/>
      <c r="AG6" s="45"/>
      <c r="AH6" s="101">
        <f t="shared" si="0"/>
        <v>0</v>
      </c>
    </row>
    <row r="7" spans="1:34" s="37" customFormat="1" x14ac:dyDescent="0.2">
      <c r="A7" s="128" t="s">
        <v>97</v>
      </c>
      <c r="B7" s="43"/>
      <c r="C7" s="43">
        <v>49967.695000000007</v>
      </c>
      <c r="D7" s="43"/>
      <c r="E7" s="213">
        <v>49812.41</v>
      </c>
      <c r="F7" s="43"/>
      <c r="G7" s="44"/>
      <c r="H7" s="45"/>
      <c r="I7" s="45"/>
      <c r="J7" s="58"/>
      <c r="K7" s="43"/>
      <c r="L7" s="45"/>
      <c r="M7" s="45"/>
      <c r="N7" s="46"/>
      <c r="O7" s="55"/>
      <c r="P7" s="45"/>
      <c r="Q7" s="146"/>
      <c r="R7" s="58"/>
      <c r="S7" s="43"/>
      <c r="T7" s="45"/>
      <c r="U7" s="45"/>
      <c r="V7" s="45"/>
      <c r="W7" s="45"/>
      <c r="X7" s="46"/>
      <c r="Y7" s="146"/>
      <c r="Z7" s="45"/>
      <c r="AA7" s="46"/>
      <c r="AB7" s="146"/>
      <c r="AC7" s="45"/>
      <c r="AD7" s="45"/>
      <c r="AE7" s="43"/>
      <c r="AF7" s="45"/>
      <c r="AG7" s="45"/>
      <c r="AH7" s="229">
        <f t="shared" si="0"/>
        <v>155.28500000000349</v>
      </c>
    </row>
    <row r="8" spans="1:34" s="37" customFormat="1" x14ac:dyDescent="0.2">
      <c r="A8" s="128" t="s">
        <v>37</v>
      </c>
      <c r="B8" s="43"/>
      <c r="C8" s="43"/>
      <c r="D8" s="43">
        <v>26008.13</v>
      </c>
      <c r="E8" s="213"/>
      <c r="F8" s="43"/>
      <c r="G8" s="44"/>
      <c r="H8" s="45"/>
      <c r="I8" s="45"/>
      <c r="J8" s="58">
        <v>25956.75</v>
      </c>
      <c r="K8" s="43"/>
      <c r="L8" s="45"/>
      <c r="M8" s="45"/>
      <c r="N8" s="46"/>
      <c r="O8" s="55"/>
      <c r="P8" s="45"/>
      <c r="Q8" s="146"/>
      <c r="R8" s="58"/>
      <c r="S8" s="43"/>
      <c r="T8" s="45"/>
      <c r="U8" s="45"/>
      <c r="V8" s="45"/>
      <c r="W8" s="45"/>
      <c r="X8" s="46"/>
      <c r="Y8" s="146"/>
      <c r="Z8" s="45"/>
      <c r="AA8" s="46"/>
      <c r="AB8" s="146"/>
      <c r="AC8" s="45"/>
      <c r="AD8" s="45"/>
      <c r="AE8" s="43"/>
      <c r="AF8" s="45"/>
      <c r="AG8" s="45"/>
      <c r="AH8" s="229">
        <f t="shared" si="0"/>
        <v>51.380000000001019</v>
      </c>
    </row>
    <row r="9" spans="1:34" s="37" customFormat="1" x14ac:dyDescent="0.2">
      <c r="A9" s="128" t="s">
        <v>39</v>
      </c>
      <c r="B9" s="43"/>
      <c r="C9" s="43">
        <v>28740.21488</v>
      </c>
      <c r="D9" s="43"/>
      <c r="E9" s="213">
        <v>28692.21</v>
      </c>
      <c r="F9" s="43"/>
      <c r="G9" s="44"/>
      <c r="H9" s="45"/>
      <c r="I9" s="45"/>
      <c r="J9" s="58"/>
      <c r="K9" s="43"/>
      <c r="L9" s="45"/>
      <c r="M9" s="45"/>
      <c r="N9" s="46"/>
      <c r="O9" s="55"/>
      <c r="P9" s="45"/>
      <c r="Q9" s="146"/>
      <c r="R9" s="58"/>
      <c r="S9" s="43"/>
      <c r="T9" s="45"/>
      <c r="U9" s="45"/>
      <c r="V9" s="45"/>
      <c r="W9" s="45"/>
      <c r="X9" s="46"/>
      <c r="Y9" s="146"/>
      <c r="Z9" s="45"/>
      <c r="AA9" s="46"/>
      <c r="AB9" s="146"/>
      <c r="AC9" s="45"/>
      <c r="AD9" s="45"/>
      <c r="AE9" s="43"/>
      <c r="AF9" s="45"/>
      <c r="AG9" s="45"/>
      <c r="AH9" s="229">
        <f t="shared" si="0"/>
        <v>48.004880000000412</v>
      </c>
    </row>
    <row r="10" spans="1:34" s="37" customFormat="1" x14ac:dyDescent="0.2">
      <c r="A10" s="128" t="s">
        <v>142</v>
      </c>
      <c r="B10" s="43"/>
      <c r="C10" s="43">
        <v>92990.592149999997</v>
      </c>
      <c r="D10" s="43">
        <v>35376.769999999997</v>
      </c>
      <c r="E10" s="213"/>
      <c r="F10" s="43"/>
      <c r="G10" s="44"/>
      <c r="H10" s="45"/>
      <c r="I10" s="45"/>
      <c r="J10" s="58">
        <v>128368</v>
      </c>
      <c r="K10" s="43"/>
      <c r="L10" s="45"/>
      <c r="M10" s="45"/>
      <c r="N10" s="46"/>
      <c r="O10" s="55"/>
      <c r="P10" s="45"/>
      <c r="Q10" s="146"/>
      <c r="R10" s="58"/>
      <c r="S10" s="43"/>
      <c r="T10" s="45"/>
      <c r="U10" s="45"/>
      <c r="V10" s="45"/>
      <c r="W10" s="45"/>
      <c r="X10" s="46"/>
      <c r="Y10" s="146"/>
      <c r="Z10" s="45"/>
      <c r="AA10" s="46"/>
      <c r="AB10" s="146"/>
      <c r="AC10" s="45"/>
      <c r="AD10" s="45"/>
      <c r="AE10" s="43"/>
      <c r="AF10" s="45"/>
      <c r="AG10" s="45"/>
      <c r="AH10" s="101">
        <f t="shared" si="0"/>
        <v>-0.63784999999916181</v>
      </c>
    </row>
    <row r="11" spans="1:34" s="37" customFormat="1" ht="25.5" x14ac:dyDescent="0.2">
      <c r="A11" s="128" t="s">
        <v>38</v>
      </c>
      <c r="B11" s="43"/>
      <c r="C11" s="43">
        <v>31682.355830000008</v>
      </c>
      <c r="D11" s="43">
        <v>33997.089999999997</v>
      </c>
      <c r="E11" s="213"/>
      <c r="F11" s="43"/>
      <c r="G11" s="44"/>
      <c r="H11" s="45"/>
      <c r="I11" s="45"/>
      <c r="J11" s="58">
        <v>65679.45</v>
      </c>
      <c r="K11" s="43"/>
      <c r="L11" s="45"/>
      <c r="M11" s="45"/>
      <c r="N11" s="46"/>
      <c r="O11" s="55"/>
      <c r="P11" s="45"/>
      <c r="Q11" s="146"/>
      <c r="R11" s="58"/>
      <c r="S11" s="43"/>
      <c r="T11" s="45"/>
      <c r="U11" s="45"/>
      <c r="V11" s="45"/>
      <c r="W11" s="45"/>
      <c r="X11" s="46"/>
      <c r="Y11" s="146"/>
      <c r="Z11" s="45"/>
      <c r="AA11" s="46"/>
      <c r="AB11" s="146"/>
      <c r="AC11" s="45"/>
      <c r="AD11" s="45"/>
      <c r="AE11" s="43"/>
      <c r="AF11" s="45"/>
      <c r="AG11" s="45"/>
      <c r="AH11" s="101">
        <f t="shared" si="0"/>
        <v>-4.1699999856064096E-3</v>
      </c>
    </row>
    <row r="12" spans="1:34" s="37" customFormat="1" ht="25.5" x14ac:dyDescent="0.2">
      <c r="A12" s="128" t="s">
        <v>40</v>
      </c>
      <c r="B12" s="43"/>
      <c r="C12" s="43">
        <v>61875.870090000004</v>
      </c>
      <c r="D12" s="43">
        <v>20356.8</v>
      </c>
      <c r="E12" s="213">
        <v>82232.67</v>
      </c>
      <c r="F12" s="43"/>
      <c r="G12" s="44"/>
      <c r="H12" s="45"/>
      <c r="I12" s="45"/>
      <c r="J12" s="58"/>
      <c r="K12" s="43"/>
      <c r="L12" s="45"/>
      <c r="M12" s="45"/>
      <c r="N12" s="46"/>
      <c r="O12" s="55"/>
      <c r="P12" s="45"/>
      <c r="Q12" s="146"/>
      <c r="R12" s="58"/>
      <c r="S12" s="43"/>
      <c r="T12" s="45"/>
      <c r="U12" s="45"/>
      <c r="V12" s="45"/>
      <c r="W12" s="45"/>
      <c r="X12" s="46"/>
      <c r="Y12" s="146"/>
      <c r="Z12" s="45"/>
      <c r="AA12" s="46"/>
      <c r="AB12" s="146"/>
      <c r="AC12" s="45"/>
      <c r="AD12" s="45"/>
      <c r="AE12" s="43"/>
      <c r="AF12" s="45"/>
      <c r="AG12" s="45"/>
      <c r="AH12" s="101">
        <f t="shared" si="0"/>
        <v>9.0000001364387572E-5</v>
      </c>
    </row>
    <row r="13" spans="1:34" s="37" customFormat="1" ht="25.5" x14ac:dyDescent="0.2">
      <c r="A13" s="128" t="s">
        <v>41</v>
      </c>
      <c r="B13" s="43"/>
      <c r="C13" s="43"/>
      <c r="D13" s="43">
        <v>190.46</v>
      </c>
      <c r="E13" s="213"/>
      <c r="F13" s="43"/>
      <c r="G13" s="44"/>
      <c r="H13" s="45"/>
      <c r="I13" s="45">
        <v>37759.83</v>
      </c>
      <c r="J13" s="58">
        <v>0</v>
      </c>
      <c r="K13" s="43"/>
      <c r="L13" s="45"/>
      <c r="M13" s="45">
        <v>5071</v>
      </c>
      <c r="N13" s="46">
        <v>43022</v>
      </c>
      <c r="O13" s="55"/>
      <c r="P13" s="45"/>
      <c r="Q13" s="146"/>
      <c r="R13" s="58"/>
      <c r="S13" s="43"/>
      <c r="T13" s="45"/>
      <c r="U13" s="45"/>
      <c r="V13" s="45"/>
      <c r="W13" s="45"/>
      <c r="X13" s="46"/>
      <c r="Y13" s="146"/>
      <c r="Z13" s="45"/>
      <c r="AA13" s="46"/>
      <c r="AB13" s="146"/>
      <c r="AC13" s="45"/>
      <c r="AD13" s="45"/>
      <c r="AE13" s="43"/>
      <c r="AF13" s="45"/>
      <c r="AG13" s="45"/>
      <c r="AH13" s="101">
        <f t="shared" si="0"/>
        <v>-0.70999999999912689</v>
      </c>
    </row>
    <row r="14" spans="1:34" s="37" customFormat="1" ht="25.5" x14ac:dyDescent="0.2">
      <c r="A14" s="128" t="s">
        <v>43</v>
      </c>
      <c r="B14" s="43"/>
      <c r="C14" s="43"/>
      <c r="D14" s="43"/>
      <c r="E14" s="213"/>
      <c r="F14" s="43"/>
      <c r="G14" s="44"/>
      <c r="H14" s="45"/>
      <c r="I14" s="45">
        <v>44419.3</v>
      </c>
      <c r="J14" s="58"/>
      <c r="K14" s="43"/>
      <c r="L14" s="45"/>
      <c r="M14" s="45">
        <v>28620</v>
      </c>
      <c r="N14" s="46">
        <v>73040</v>
      </c>
      <c r="O14" s="55"/>
      <c r="P14" s="45"/>
      <c r="Q14" s="146"/>
      <c r="R14" s="58"/>
      <c r="S14" s="43"/>
      <c r="T14" s="45"/>
      <c r="U14" s="45"/>
      <c r="V14" s="45"/>
      <c r="W14" s="45"/>
      <c r="X14" s="46"/>
      <c r="Y14" s="146"/>
      <c r="Z14" s="45"/>
      <c r="AA14" s="46"/>
      <c r="AB14" s="146"/>
      <c r="AC14" s="45"/>
      <c r="AD14" s="45"/>
      <c r="AE14" s="43"/>
      <c r="AF14" s="45"/>
      <c r="AG14" s="45"/>
      <c r="AH14" s="101">
        <f t="shared" si="0"/>
        <v>-0.69999999999708962</v>
      </c>
    </row>
    <row r="15" spans="1:34" s="37" customFormat="1" ht="25.5" x14ac:dyDescent="0.2">
      <c r="A15" s="128" t="s">
        <v>42</v>
      </c>
      <c r="B15" s="43"/>
      <c r="C15" s="43">
        <v>50463.757810000003</v>
      </c>
      <c r="D15" s="43"/>
      <c r="E15" s="213">
        <v>46106.89</v>
      </c>
      <c r="F15" s="43"/>
      <c r="G15" s="44"/>
      <c r="H15" s="45"/>
      <c r="I15" s="45"/>
      <c r="J15" s="58"/>
      <c r="K15" s="43"/>
      <c r="L15" s="45"/>
      <c r="M15" s="45"/>
      <c r="N15" s="46"/>
      <c r="O15" s="55"/>
      <c r="P15" s="45"/>
      <c r="Q15" s="146"/>
      <c r="R15" s="58"/>
      <c r="S15" s="43"/>
      <c r="T15" s="45"/>
      <c r="U15" s="45"/>
      <c r="V15" s="45"/>
      <c r="W15" s="45"/>
      <c r="X15" s="46"/>
      <c r="Y15" s="146"/>
      <c r="Z15" s="45"/>
      <c r="AA15" s="46"/>
      <c r="AB15" s="146"/>
      <c r="AC15" s="45"/>
      <c r="AD15" s="45"/>
      <c r="AE15" s="43"/>
      <c r="AF15" s="45"/>
      <c r="AG15" s="45"/>
      <c r="AH15" s="229">
        <f t="shared" si="0"/>
        <v>4356.8678100000034</v>
      </c>
    </row>
    <row r="16" spans="1:34" s="37" customFormat="1" x14ac:dyDescent="0.2">
      <c r="A16" s="128" t="s">
        <v>195</v>
      </c>
      <c r="B16" s="43"/>
      <c r="C16" s="43">
        <v>12</v>
      </c>
      <c r="D16" s="43"/>
      <c r="E16" s="213"/>
      <c r="F16" s="43"/>
      <c r="G16" s="44"/>
      <c r="H16" s="45"/>
      <c r="I16" s="45"/>
      <c r="J16" s="58"/>
      <c r="K16" s="43"/>
      <c r="L16" s="45"/>
      <c r="M16" s="45"/>
      <c r="N16" s="46"/>
      <c r="O16" s="55"/>
      <c r="P16" s="45"/>
      <c r="Q16" s="146"/>
      <c r="R16" s="58"/>
      <c r="S16" s="43"/>
      <c r="T16" s="45"/>
      <c r="U16" s="45"/>
      <c r="V16" s="45"/>
      <c r="W16" s="45"/>
      <c r="X16" s="46"/>
      <c r="Y16" s="146"/>
      <c r="Z16" s="45"/>
      <c r="AA16" s="46"/>
      <c r="AB16" s="146"/>
      <c r="AC16" s="45"/>
      <c r="AD16" s="45"/>
      <c r="AE16" s="43"/>
      <c r="AF16" s="45"/>
      <c r="AG16" s="45"/>
      <c r="AH16" s="229">
        <f t="shared" si="0"/>
        <v>12</v>
      </c>
    </row>
    <row r="17" spans="1:34" s="37" customFormat="1" x14ac:dyDescent="0.2">
      <c r="A17" s="128" t="s">
        <v>44</v>
      </c>
      <c r="B17" s="43"/>
      <c r="C17" s="43"/>
      <c r="D17" s="43"/>
      <c r="E17" s="213"/>
      <c r="F17" s="43"/>
      <c r="G17" s="44"/>
      <c r="H17" s="45"/>
      <c r="I17" s="45">
        <v>38810.980000000003</v>
      </c>
      <c r="J17" s="58">
        <v>38810.980000000003</v>
      </c>
      <c r="K17" s="43"/>
      <c r="L17" s="45"/>
      <c r="M17" s="45"/>
      <c r="N17" s="46"/>
      <c r="O17" s="55"/>
      <c r="P17" s="45"/>
      <c r="Q17" s="146"/>
      <c r="R17" s="58"/>
      <c r="S17" s="43"/>
      <c r="T17" s="45"/>
      <c r="U17" s="45"/>
      <c r="V17" s="45"/>
      <c r="W17" s="45"/>
      <c r="X17" s="46"/>
      <c r="Y17" s="146"/>
      <c r="Z17" s="45"/>
      <c r="AA17" s="46"/>
      <c r="AB17" s="146"/>
      <c r="AC17" s="45"/>
      <c r="AD17" s="45"/>
      <c r="AE17" s="43"/>
      <c r="AF17" s="45"/>
      <c r="AG17" s="45"/>
      <c r="AH17" s="101">
        <f t="shared" si="0"/>
        <v>0</v>
      </c>
    </row>
    <row r="18" spans="1:34" s="37" customFormat="1" x14ac:dyDescent="0.2">
      <c r="A18" s="128" t="s">
        <v>45</v>
      </c>
      <c r="B18" s="43"/>
      <c r="C18" s="43"/>
      <c r="D18" s="43">
        <v>27498.560000000001</v>
      </c>
      <c r="E18" s="213"/>
      <c r="F18" s="43"/>
      <c r="G18" s="44"/>
      <c r="H18" s="45"/>
      <c r="I18" s="45">
        <v>1265.94</v>
      </c>
      <c r="J18" s="58">
        <v>28764.5</v>
      </c>
      <c r="K18" s="43"/>
      <c r="L18" s="45"/>
      <c r="M18" s="45"/>
      <c r="N18" s="46"/>
      <c r="O18" s="55"/>
      <c r="P18" s="45"/>
      <c r="Q18" s="146"/>
      <c r="R18" s="58"/>
      <c r="S18" s="43"/>
      <c r="T18" s="45"/>
      <c r="U18" s="45"/>
      <c r="V18" s="45"/>
      <c r="W18" s="45"/>
      <c r="X18" s="46"/>
      <c r="Y18" s="146"/>
      <c r="Z18" s="45"/>
      <c r="AA18" s="46"/>
      <c r="AB18" s="146"/>
      <c r="AC18" s="45"/>
      <c r="AD18" s="45"/>
      <c r="AE18" s="43"/>
      <c r="AF18" s="45"/>
      <c r="AG18" s="45"/>
      <c r="AH18" s="101">
        <f t="shared" si="0"/>
        <v>0</v>
      </c>
    </row>
    <row r="19" spans="1:34" s="37" customFormat="1" ht="25.5" x14ac:dyDescent="0.2">
      <c r="A19" s="122" t="s">
        <v>46</v>
      </c>
      <c r="B19" s="43"/>
      <c r="C19" s="43"/>
      <c r="D19" s="43"/>
      <c r="E19" s="213"/>
      <c r="F19" s="43"/>
      <c r="G19" s="44"/>
      <c r="H19" s="45"/>
      <c r="I19" s="45"/>
      <c r="J19" s="58"/>
      <c r="K19" s="43"/>
      <c r="L19" s="45"/>
      <c r="M19" s="45"/>
      <c r="N19" s="46"/>
      <c r="O19" s="55"/>
      <c r="P19" s="45">
        <v>75300</v>
      </c>
      <c r="Q19" s="162"/>
      <c r="R19" s="123"/>
      <c r="S19" s="43"/>
      <c r="T19" s="45"/>
      <c r="U19" s="45"/>
      <c r="V19" s="45"/>
      <c r="W19" s="45"/>
      <c r="X19" s="46"/>
      <c r="Y19" s="146"/>
      <c r="Z19" s="45"/>
      <c r="AA19" s="46"/>
      <c r="AB19" s="146"/>
      <c r="AC19" s="45"/>
      <c r="AD19" s="45"/>
      <c r="AE19" s="43"/>
      <c r="AF19" s="45"/>
      <c r="AG19" s="45"/>
      <c r="AH19" s="101">
        <f t="shared" si="0"/>
        <v>0</v>
      </c>
    </row>
    <row r="20" spans="1:34" s="37" customFormat="1" x14ac:dyDescent="0.2">
      <c r="A20" s="128" t="s">
        <v>47</v>
      </c>
      <c r="B20" s="43"/>
      <c r="C20" s="43"/>
      <c r="D20" s="43"/>
      <c r="E20" s="213"/>
      <c r="F20" s="43"/>
      <c r="G20" s="44"/>
      <c r="H20" s="45"/>
      <c r="I20" s="45">
        <v>38440.6</v>
      </c>
      <c r="J20" s="58"/>
      <c r="K20" s="43"/>
      <c r="L20" s="45"/>
      <c r="M20" s="45">
        <v>56838</v>
      </c>
      <c r="N20" s="46"/>
      <c r="O20" s="55"/>
      <c r="P20" s="45"/>
      <c r="Q20" s="146"/>
      <c r="R20" s="58">
        <v>95278</v>
      </c>
      <c r="S20" s="43"/>
      <c r="T20" s="45"/>
      <c r="U20" s="45"/>
      <c r="V20" s="45"/>
      <c r="W20" s="45"/>
      <c r="X20" s="46"/>
      <c r="Y20" s="146"/>
      <c r="Z20" s="45"/>
      <c r="AA20" s="46"/>
      <c r="AB20" s="146"/>
      <c r="AC20" s="45"/>
      <c r="AD20" s="45"/>
      <c r="AE20" s="43"/>
      <c r="AF20" s="45"/>
      <c r="AG20" s="45"/>
      <c r="AH20" s="101">
        <f t="shared" si="0"/>
        <v>0.60000000000582077</v>
      </c>
    </row>
    <row r="21" spans="1:34" s="37" customFormat="1" x14ac:dyDescent="0.2">
      <c r="A21" s="128" t="s">
        <v>48</v>
      </c>
      <c r="B21" s="43"/>
      <c r="C21" s="43"/>
      <c r="D21" s="43"/>
      <c r="E21" s="213"/>
      <c r="F21" s="43"/>
      <c r="G21" s="44"/>
      <c r="H21" s="45"/>
      <c r="I21" s="45"/>
      <c r="J21" s="58"/>
      <c r="K21" s="43"/>
      <c r="L21" s="45"/>
      <c r="M21" s="45">
        <v>34440</v>
      </c>
      <c r="N21" s="46">
        <v>0</v>
      </c>
      <c r="O21" s="55"/>
      <c r="P21" s="45"/>
      <c r="Q21" s="146"/>
      <c r="R21" s="58">
        <v>34440</v>
      </c>
      <c r="S21" s="43"/>
      <c r="T21" s="45"/>
      <c r="U21" s="45"/>
      <c r="V21" s="45"/>
      <c r="W21" s="45"/>
      <c r="X21" s="46"/>
      <c r="Y21" s="146"/>
      <c r="Z21" s="45"/>
      <c r="AA21" s="46"/>
      <c r="AB21" s="146"/>
      <c r="AC21" s="45"/>
      <c r="AD21" s="45"/>
      <c r="AE21" s="43"/>
      <c r="AF21" s="45"/>
      <c r="AG21" s="45"/>
      <c r="AH21" s="101">
        <f t="shared" si="0"/>
        <v>0</v>
      </c>
    </row>
    <row r="22" spans="1:34" s="37" customFormat="1" ht="25.5" x14ac:dyDescent="0.2">
      <c r="A22" s="122" t="s">
        <v>49</v>
      </c>
      <c r="B22" s="43"/>
      <c r="C22" s="43"/>
      <c r="D22" s="43"/>
      <c r="E22" s="213"/>
      <c r="F22" s="43"/>
      <c r="G22" s="44"/>
      <c r="H22" s="45"/>
      <c r="I22" s="45"/>
      <c r="J22" s="58"/>
      <c r="K22" s="43"/>
      <c r="L22" s="45"/>
      <c r="M22" s="45"/>
      <c r="N22" s="46"/>
      <c r="O22" s="55"/>
      <c r="P22" s="45"/>
      <c r="Q22" s="162"/>
      <c r="R22" s="123"/>
      <c r="S22" s="43"/>
      <c r="T22" s="45"/>
      <c r="U22" s="45"/>
      <c r="V22" s="45"/>
      <c r="W22" s="45"/>
      <c r="X22" s="46"/>
      <c r="Y22" s="146"/>
      <c r="Z22" s="45"/>
      <c r="AA22" s="46"/>
      <c r="AB22" s="146"/>
      <c r="AC22" s="45"/>
      <c r="AD22" s="45"/>
      <c r="AE22" s="43"/>
      <c r="AF22" s="45"/>
      <c r="AG22" s="45"/>
      <c r="AH22" s="101">
        <f t="shared" si="0"/>
        <v>0</v>
      </c>
    </row>
    <row r="23" spans="1:34" s="37" customFormat="1" ht="38.25" x14ac:dyDescent="0.2">
      <c r="A23" s="122" t="s">
        <v>50</v>
      </c>
      <c r="B23" s="43"/>
      <c r="C23" s="43"/>
      <c r="D23" s="43"/>
      <c r="E23" s="213"/>
      <c r="F23" s="43"/>
      <c r="G23" s="44"/>
      <c r="H23" s="45"/>
      <c r="I23" s="45"/>
      <c r="J23" s="58"/>
      <c r="K23" s="43"/>
      <c r="L23" s="45"/>
      <c r="M23" s="45"/>
      <c r="N23" s="46"/>
      <c r="O23" s="55"/>
      <c r="P23" s="45"/>
      <c r="Q23" s="162"/>
      <c r="R23" s="123"/>
      <c r="S23" s="43"/>
      <c r="T23" s="45"/>
      <c r="U23" s="45"/>
      <c r="V23" s="45"/>
      <c r="W23" s="45"/>
      <c r="X23" s="46"/>
      <c r="Y23" s="146"/>
      <c r="Z23" s="45"/>
      <c r="AA23" s="46"/>
      <c r="AB23" s="146"/>
      <c r="AC23" s="45"/>
      <c r="AD23" s="45"/>
      <c r="AE23" s="43"/>
      <c r="AF23" s="45"/>
      <c r="AG23" s="45"/>
      <c r="AH23" s="101">
        <f t="shared" si="0"/>
        <v>0</v>
      </c>
    </row>
    <row r="24" spans="1:34" s="37" customFormat="1" ht="25.5" x14ac:dyDescent="0.2">
      <c r="A24" s="122" t="s">
        <v>51</v>
      </c>
      <c r="B24" s="43"/>
      <c r="C24" s="43"/>
      <c r="D24" s="43"/>
      <c r="E24" s="213"/>
      <c r="F24" s="43"/>
      <c r="G24" s="44"/>
      <c r="H24" s="45"/>
      <c r="I24" s="45"/>
      <c r="J24" s="58"/>
      <c r="K24" s="43"/>
      <c r="L24" s="45"/>
      <c r="M24" s="45"/>
      <c r="N24" s="46"/>
      <c r="O24" s="55"/>
      <c r="P24" s="45"/>
      <c r="Q24" s="162"/>
      <c r="R24" s="123"/>
      <c r="S24" s="43"/>
      <c r="T24" s="45"/>
      <c r="U24" s="45"/>
      <c r="V24" s="45"/>
      <c r="W24" s="45"/>
      <c r="X24" s="46"/>
      <c r="Y24" s="146"/>
      <c r="Z24" s="45"/>
      <c r="AA24" s="46"/>
      <c r="AB24" s="146"/>
      <c r="AC24" s="45"/>
      <c r="AD24" s="45"/>
      <c r="AE24" s="43"/>
      <c r="AF24" s="45"/>
      <c r="AG24" s="45"/>
      <c r="AH24" s="101">
        <f t="shared" si="0"/>
        <v>0</v>
      </c>
    </row>
    <row r="25" spans="1:34" s="37" customFormat="1" ht="25.5" x14ac:dyDescent="0.2">
      <c r="A25" s="122" t="s">
        <v>52</v>
      </c>
      <c r="B25" s="43"/>
      <c r="C25" s="43"/>
      <c r="D25" s="43"/>
      <c r="E25" s="213"/>
      <c r="F25" s="43"/>
      <c r="G25" s="44"/>
      <c r="H25" s="45"/>
      <c r="I25" s="45">
        <v>0</v>
      </c>
      <c r="J25" s="58"/>
      <c r="K25" s="43"/>
      <c r="L25" s="45"/>
      <c r="M25" s="45"/>
      <c r="N25" s="46"/>
      <c r="O25" s="55"/>
      <c r="P25" s="45"/>
      <c r="Q25" s="162"/>
      <c r="R25" s="123"/>
      <c r="S25" s="43"/>
      <c r="T25" s="45"/>
      <c r="U25" s="45"/>
      <c r="V25" s="45"/>
      <c r="W25" s="45"/>
      <c r="X25" s="46"/>
      <c r="Y25" s="146"/>
      <c r="Z25" s="45"/>
      <c r="AA25" s="46"/>
      <c r="AB25" s="146"/>
      <c r="AC25" s="45"/>
      <c r="AD25" s="45"/>
      <c r="AE25" s="43"/>
      <c r="AF25" s="45"/>
      <c r="AG25" s="45"/>
      <c r="AH25" s="101">
        <f t="shared" si="0"/>
        <v>0</v>
      </c>
    </row>
    <row r="26" spans="1:34" s="37" customFormat="1" ht="25.5" x14ac:dyDescent="0.2">
      <c r="A26" s="122" t="s">
        <v>53</v>
      </c>
      <c r="B26" s="43"/>
      <c r="C26" s="43"/>
      <c r="D26" s="43"/>
      <c r="E26" s="213"/>
      <c r="F26" s="43"/>
      <c r="G26" s="44"/>
      <c r="H26" s="45"/>
      <c r="I26" s="45"/>
      <c r="J26" s="58"/>
      <c r="K26" s="43"/>
      <c r="L26" s="45"/>
      <c r="M26" s="45"/>
      <c r="N26" s="46"/>
      <c r="O26" s="55"/>
      <c r="P26" s="45"/>
      <c r="Q26" s="162"/>
      <c r="R26" s="123"/>
      <c r="S26" s="43"/>
      <c r="T26" s="45"/>
      <c r="U26" s="45"/>
      <c r="V26" s="45"/>
      <c r="W26" s="45"/>
      <c r="X26" s="46"/>
      <c r="Y26" s="146"/>
      <c r="Z26" s="45"/>
      <c r="AA26" s="46"/>
      <c r="AB26" s="146"/>
      <c r="AC26" s="45"/>
      <c r="AD26" s="45"/>
      <c r="AE26" s="43"/>
      <c r="AF26" s="45"/>
      <c r="AG26" s="45"/>
      <c r="AH26" s="101">
        <f t="shared" si="0"/>
        <v>0</v>
      </c>
    </row>
    <row r="27" spans="1:34" s="37" customFormat="1" ht="25.5" x14ac:dyDescent="0.2">
      <c r="A27" s="128" t="s">
        <v>54</v>
      </c>
      <c r="B27" s="43"/>
      <c r="C27" s="43"/>
      <c r="D27" s="43"/>
      <c r="E27" s="213"/>
      <c r="F27" s="43"/>
      <c r="G27" s="44"/>
      <c r="H27" s="45"/>
      <c r="I27" s="45"/>
      <c r="J27" s="58"/>
      <c r="K27" s="43"/>
      <c r="L27" s="45"/>
      <c r="M27" s="45">
        <v>109777</v>
      </c>
      <c r="N27" s="46"/>
      <c r="O27" s="55"/>
      <c r="P27" s="45"/>
      <c r="Q27" s="146">
        <v>0</v>
      </c>
      <c r="R27" s="58">
        <v>109778</v>
      </c>
      <c r="S27" s="43"/>
      <c r="T27" s="45"/>
      <c r="U27" s="45"/>
      <c r="V27" s="45"/>
      <c r="W27" s="45"/>
      <c r="X27" s="46"/>
      <c r="Y27" s="146"/>
      <c r="Z27" s="45"/>
      <c r="AA27" s="46"/>
      <c r="AB27" s="146"/>
      <c r="AC27" s="45"/>
      <c r="AD27" s="45"/>
      <c r="AE27" s="43"/>
      <c r="AF27" s="45"/>
      <c r="AG27" s="45"/>
      <c r="AH27" s="101">
        <f t="shared" si="0"/>
        <v>-1</v>
      </c>
    </row>
    <row r="28" spans="1:34" s="37" customFormat="1" ht="25.5" x14ac:dyDescent="0.2">
      <c r="A28" s="128" t="s">
        <v>55</v>
      </c>
      <c r="B28" s="43"/>
      <c r="C28" s="43"/>
      <c r="D28" s="43"/>
      <c r="E28" s="213"/>
      <c r="F28" s="43"/>
      <c r="G28" s="44"/>
      <c r="H28" s="45"/>
      <c r="I28" s="45">
        <v>42300</v>
      </c>
      <c r="J28" s="58"/>
      <c r="K28" s="43"/>
      <c r="L28" s="45"/>
      <c r="M28" s="45">
        <v>70091</v>
      </c>
      <c r="N28" s="46"/>
      <c r="O28" s="55"/>
      <c r="P28" s="45"/>
      <c r="Q28" s="146"/>
      <c r="R28" s="58">
        <v>112391</v>
      </c>
      <c r="S28" s="43"/>
      <c r="T28" s="45"/>
      <c r="U28" s="45"/>
      <c r="V28" s="45"/>
      <c r="W28" s="45"/>
      <c r="X28" s="46"/>
      <c r="Y28" s="146"/>
      <c r="Z28" s="45"/>
      <c r="AA28" s="46"/>
      <c r="AB28" s="146"/>
      <c r="AC28" s="45"/>
      <c r="AD28" s="45"/>
      <c r="AE28" s="43"/>
      <c r="AF28" s="45"/>
      <c r="AG28" s="45"/>
      <c r="AH28" s="101">
        <f t="shared" si="0"/>
        <v>0</v>
      </c>
    </row>
    <row r="29" spans="1:34" s="37" customFormat="1" ht="25.5" x14ac:dyDescent="0.2">
      <c r="A29" s="122" t="s">
        <v>56</v>
      </c>
      <c r="B29" s="43"/>
      <c r="C29" s="43"/>
      <c r="D29" s="43"/>
      <c r="E29" s="213"/>
      <c r="F29" s="43"/>
      <c r="G29" s="44"/>
      <c r="H29" s="45"/>
      <c r="I29" s="45"/>
      <c r="J29" s="58"/>
      <c r="K29" s="43"/>
      <c r="L29" s="45"/>
      <c r="M29" s="45"/>
      <c r="N29" s="46"/>
      <c r="O29" s="55"/>
      <c r="P29" s="45"/>
      <c r="Q29" s="162"/>
      <c r="R29" s="123"/>
      <c r="S29" s="43"/>
      <c r="T29" s="45"/>
      <c r="U29" s="45"/>
      <c r="V29" s="45"/>
      <c r="W29" s="45"/>
      <c r="X29" s="46"/>
      <c r="Y29" s="146"/>
      <c r="Z29" s="45"/>
      <c r="AA29" s="46"/>
      <c r="AB29" s="146"/>
      <c r="AC29" s="45"/>
      <c r="AD29" s="45"/>
      <c r="AE29" s="43"/>
      <c r="AF29" s="45"/>
      <c r="AG29" s="45"/>
      <c r="AH29" s="101">
        <f t="shared" si="0"/>
        <v>0</v>
      </c>
    </row>
    <row r="30" spans="1:34" s="37" customFormat="1" x14ac:dyDescent="0.2">
      <c r="A30" s="128" t="s">
        <v>57</v>
      </c>
      <c r="B30" s="43"/>
      <c r="C30" s="43"/>
      <c r="D30" s="43"/>
      <c r="E30" s="213"/>
      <c r="F30" s="43"/>
      <c r="G30" s="44"/>
      <c r="H30" s="45"/>
      <c r="I30" s="45">
        <v>0</v>
      </c>
      <c r="J30" s="58"/>
      <c r="K30" s="43"/>
      <c r="L30" s="45"/>
      <c r="M30" s="45">
        <v>102513</v>
      </c>
      <c r="N30" s="46"/>
      <c r="O30" s="55"/>
      <c r="P30" s="45"/>
      <c r="Q30" s="146">
        <v>0</v>
      </c>
      <c r="R30" s="58">
        <v>102513</v>
      </c>
      <c r="S30" s="43"/>
      <c r="T30" s="45"/>
      <c r="U30" s="45"/>
      <c r="V30" s="45"/>
      <c r="W30" s="45"/>
      <c r="X30" s="46"/>
      <c r="Y30" s="146"/>
      <c r="Z30" s="45"/>
      <c r="AA30" s="46"/>
      <c r="AB30" s="146"/>
      <c r="AC30" s="45"/>
      <c r="AD30" s="45"/>
      <c r="AE30" s="43"/>
      <c r="AF30" s="45"/>
      <c r="AG30" s="45"/>
      <c r="AH30" s="101">
        <f t="shared" si="0"/>
        <v>0</v>
      </c>
    </row>
    <row r="31" spans="1:34" s="37" customFormat="1" x14ac:dyDescent="0.2">
      <c r="A31" s="128" t="s">
        <v>58</v>
      </c>
      <c r="B31" s="43"/>
      <c r="C31" s="43"/>
      <c r="D31" s="43"/>
      <c r="E31" s="213"/>
      <c r="F31" s="43"/>
      <c r="G31" s="44"/>
      <c r="H31" s="45"/>
      <c r="I31" s="45">
        <v>3930</v>
      </c>
      <c r="J31" s="58"/>
      <c r="K31" s="43"/>
      <c r="L31" s="45"/>
      <c r="M31" s="45"/>
      <c r="N31" s="46">
        <v>3930</v>
      </c>
      <c r="O31" s="55"/>
      <c r="P31" s="45"/>
      <c r="Q31" s="146"/>
      <c r="R31" s="58"/>
      <c r="S31" s="43"/>
      <c r="T31" s="45"/>
      <c r="U31" s="45"/>
      <c r="V31" s="45"/>
      <c r="W31" s="45"/>
      <c r="X31" s="46"/>
      <c r="Y31" s="146"/>
      <c r="Z31" s="45"/>
      <c r="AA31" s="46"/>
      <c r="AB31" s="146"/>
      <c r="AC31" s="45"/>
      <c r="AD31" s="45"/>
      <c r="AE31" s="43"/>
      <c r="AF31" s="45"/>
      <c r="AG31" s="45"/>
      <c r="AH31" s="101">
        <f t="shared" si="0"/>
        <v>0</v>
      </c>
    </row>
    <row r="32" spans="1:34" s="37" customFormat="1" x14ac:dyDescent="0.2">
      <c r="A32" s="128" t="s">
        <v>59</v>
      </c>
      <c r="B32" s="43"/>
      <c r="C32" s="43"/>
      <c r="D32" s="43"/>
      <c r="E32" s="213"/>
      <c r="F32" s="43"/>
      <c r="G32" s="44"/>
      <c r="H32" s="45"/>
      <c r="I32" s="45">
        <v>3273</v>
      </c>
      <c r="J32" s="58"/>
      <c r="K32" s="43"/>
      <c r="L32" s="45"/>
      <c r="M32" s="45"/>
      <c r="N32" s="46">
        <v>3273</v>
      </c>
      <c r="O32" s="55"/>
      <c r="P32" s="45"/>
      <c r="Q32" s="146"/>
      <c r="R32" s="58"/>
      <c r="S32" s="43"/>
      <c r="T32" s="45"/>
      <c r="U32" s="45"/>
      <c r="V32" s="45"/>
      <c r="W32" s="45"/>
      <c r="X32" s="46"/>
      <c r="Y32" s="146"/>
      <c r="Z32" s="45"/>
      <c r="AA32" s="46"/>
      <c r="AB32" s="146"/>
      <c r="AC32" s="45"/>
      <c r="AD32" s="45"/>
      <c r="AE32" s="43"/>
      <c r="AF32" s="45"/>
      <c r="AG32" s="45"/>
      <c r="AH32" s="101">
        <f t="shared" si="0"/>
        <v>0</v>
      </c>
    </row>
    <row r="33" spans="1:34" s="37" customFormat="1" x14ac:dyDescent="0.2">
      <c r="A33" s="128" t="s">
        <v>60</v>
      </c>
      <c r="B33" s="43"/>
      <c r="C33" s="43"/>
      <c r="D33" s="43"/>
      <c r="E33" s="213"/>
      <c r="F33" s="43"/>
      <c r="G33" s="44"/>
      <c r="H33" s="45"/>
      <c r="I33" s="45">
        <v>1667</v>
      </c>
      <c r="J33" s="58"/>
      <c r="K33" s="43"/>
      <c r="L33" s="45"/>
      <c r="M33" s="45"/>
      <c r="N33" s="46">
        <v>1667</v>
      </c>
      <c r="O33" s="55"/>
      <c r="P33" s="45"/>
      <c r="Q33" s="146"/>
      <c r="R33" s="58"/>
      <c r="S33" s="43"/>
      <c r="T33" s="45"/>
      <c r="U33" s="45"/>
      <c r="V33" s="45"/>
      <c r="W33" s="45"/>
      <c r="X33" s="46"/>
      <c r="Y33" s="146"/>
      <c r="Z33" s="45"/>
      <c r="AA33" s="46"/>
      <c r="AB33" s="146"/>
      <c r="AC33" s="45"/>
      <c r="AD33" s="45"/>
      <c r="AE33" s="43"/>
      <c r="AF33" s="45"/>
      <c r="AG33" s="45"/>
      <c r="AH33" s="101">
        <f t="shared" si="0"/>
        <v>0</v>
      </c>
    </row>
    <row r="34" spans="1:34" s="37" customFormat="1" x14ac:dyDescent="0.2">
      <c r="A34" s="147" t="s">
        <v>209</v>
      </c>
      <c r="B34" s="43"/>
      <c r="C34" s="43"/>
      <c r="D34" s="43"/>
      <c r="E34" s="213"/>
      <c r="F34" s="43"/>
      <c r="G34" s="44"/>
      <c r="H34" s="45"/>
      <c r="I34" s="45"/>
      <c r="J34" s="58"/>
      <c r="K34" s="43"/>
      <c r="L34" s="45"/>
      <c r="M34" s="45"/>
      <c r="N34" s="46"/>
      <c r="O34" s="55"/>
      <c r="P34" s="45"/>
      <c r="Q34" s="146">
        <v>313000</v>
      </c>
      <c r="R34" s="58">
        <v>43300</v>
      </c>
      <c r="S34" s="43"/>
      <c r="T34" s="45"/>
      <c r="U34" s="45"/>
      <c r="V34" s="45">
        <v>385000</v>
      </c>
      <c r="W34" s="45">
        <v>269700</v>
      </c>
      <c r="X34" s="46">
        <v>98300</v>
      </c>
      <c r="Y34" s="146"/>
      <c r="Z34" s="45">
        <v>275000</v>
      </c>
      <c r="AA34" s="46">
        <v>435000</v>
      </c>
      <c r="AB34" s="146"/>
      <c r="AC34" s="45">
        <v>223300</v>
      </c>
      <c r="AD34" s="45">
        <v>235000</v>
      </c>
      <c r="AE34" s="43"/>
      <c r="AF34" s="45"/>
      <c r="AG34" s="45">
        <v>115000</v>
      </c>
      <c r="AH34" s="101"/>
    </row>
    <row r="35" spans="1:34" ht="25.5" x14ac:dyDescent="0.2">
      <c r="A35" s="16" t="s">
        <v>26</v>
      </c>
      <c r="B35" s="23"/>
      <c r="C35" s="23"/>
      <c r="D35" s="23"/>
      <c r="E35" s="214"/>
      <c r="F35" s="23"/>
      <c r="G35" s="6"/>
      <c r="H35" s="6">
        <v>807</v>
      </c>
      <c r="I35" s="6"/>
      <c r="J35" s="59"/>
      <c r="K35" s="31"/>
      <c r="L35" s="7">
        <v>130993</v>
      </c>
      <c r="M35" s="7"/>
      <c r="N35" s="32"/>
      <c r="O35" s="131"/>
      <c r="P35" s="6">
        <v>277178</v>
      </c>
      <c r="Q35" s="189"/>
      <c r="R35" s="59"/>
      <c r="S35" s="23"/>
      <c r="T35" s="6"/>
      <c r="U35" s="6"/>
      <c r="V35" s="6"/>
      <c r="W35" s="6"/>
      <c r="X35" s="24"/>
      <c r="Y35" s="159"/>
      <c r="Z35" s="6"/>
      <c r="AA35" s="24"/>
      <c r="AB35" s="159"/>
      <c r="AC35" s="6"/>
      <c r="AD35" s="6"/>
      <c r="AE35" s="23"/>
      <c r="AF35" s="6"/>
      <c r="AG35" s="6"/>
      <c r="AH35" s="101">
        <f t="shared" ref="AH35:AH97" si="1">C35+D35+I35+M35+Q35+U35-E35-J35-N35-R35-W35</f>
        <v>0</v>
      </c>
    </row>
    <row r="36" spans="1:34" ht="38.25" x14ac:dyDescent="0.2">
      <c r="A36" s="16" t="s">
        <v>25</v>
      </c>
      <c r="B36" s="23"/>
      <c r="C36" s="23"/>
      <c r="D36" s="23"/>
      <c r="E36" s="214"/>
      <c r="F36" s="23"/>
      <c r="G36" s="6"/>
      <c r="H36" s="6">
        <v>27298</v>
      </c>
      <c r="I36" s="6"/>
      <c r="J36" s="59"/>
      <c r="K36" s="31"/>
      <c r="L36" s="7">
        <v>29993</v>
      </c>
      <c r="M36" s="7"/>
      <c r="N36" s="32"/>
      <c r="O36" s="131"/>
      <c r="P36" s="6">
        <v>64999</v>
      </c>
      <c r="Q36" s="189"/>
      <c r="R36" s="59"/>
      <c r="S36" s="23"/>
      <c r="T36" s="6">
        <v>3710</v>
      </c>
      <c r="U36" s="6"/>
      <c r="V36" s="6"/>
      <c r="W36" s="6"/>
      <c r="X36" s="24"/>
      <c r="Y36" s="159"/>
      <c r="Z36" s="6"/>
      <c r="AA36" s="24"/>
      <c r="AB36" s="159"/>
      <c r="AC36" s="6"/>
      <c r="AD36" s="6"/>
      <c r="AE36" s="23"/>
      <c r="AF36" s="6"/>
      <c r="AG36" s="6"/>
      <c r="AH36" s="101">
        <f t="shared" si="1"/>
        <v>0</v>
      </c>
    </row>
    <row r="37" spans="1:34" s="8" customFormat="1" x14ac:dyDescent="0.2">
      <c r="A37" s="17" t="s">
        <v>31</v>
      </c>
      <c r="B37" s="25">
        <f t="shared" ref="B37:T37" si="2">SUM(B3:B36)</f>
        <v>0</v>
      </c>
      <c r="C37" s="25">
        <f t="shared" si="2"/>
        <v>315732.48576000001</v>
      </c>
      <c r="D37" s="25">
        <f t="shared" si="2"/>
        <v>143427.81</v>
      </c>
      <c r="E37" s="142">
        <f t="shared" si="2"/>
        <v>206844.18</v>
      </c>
      <c r="F37" s="199">
        <f t="shared" si="2"/>
        <v>0</v>
      </c>
      <c r="G37" s="191">
        <f t="shared" si="2"/>
        <v>0</v>
      </c>
      <c r="H37" s="191">
        <f t="shared" si="2"/>
        <v>28105</v>
      </c>
      <c r="I37" s="191">
        <f t="shared" si="2"/>
        <v>255456.65000000002</v>
      </c>
      <c r="J37" s="218">
        <f t="shared" si="2"/>
        <v>287579.68000000005</v>
      </c>
      <c r="K37" s="199">
        <f t="shared" si="2"/>
        <v>0</v>
      </c>
      <c r="L37" s="191">
        <f t="shared" si="2"/>
        <v>160986</v>
      </c>
      <c r="M37" s="191">
        <f t="shared" si="2"/>
        <v>502750</v>
      </c>
      <c r="N37" s="200">
        <f t="shared" si="2"/>
        <v>178322</v>
      </c>
      <c r="O37" s="169">
        <f t="shared" si="2"/>
        <v>0</v>
      </c>
      <c r="P37" s="191">
        <f t="shared" si="2"/>
        <v>417477</v>
      </c>
      <c r="Q37" s="161">
        <f t="shared" si="2"/>
        <v>420500</v>
      </c>
      <c r="R37" s="60">
        <f t="shared" si="2"/>
        <v>583300</v>
      </c>
      <c r="S37" s="199"/>
      <c r="T37" s="191">
        <f t="shared" si="2"/>
        <v>3710</v>
      </c>
      <c r="U37" s="191">
        <f>SUM(U3:U36)</f>
        <v>0</v>
      </c>
      <c r="V37" s="191">
        <f>SUM(V3:V36)</f>
        <v>588700</v>
      </c>
      <c r="W37" s="191">
        <f>SUM(W3:W36)</f>
        <v>377200</v>
      </c>
      <c r="X37" s="200">
        <f>SUM(X3:X36)</f>
        <v>98300</v>
      </c>
      <c r="Y37" s="191">
        <f t="shared" ref="Y37:AG37" si="3">SUM(Y3:Y36)</f>
        <v>0</v>
      </c>
      <c r="Z37" s="191">
        <f t="shared" si="3"/>
        <v>421500</v>
      </c>
      <c r="AA37" s="200">
        <f t="shared" si="3"/>
        <v>638700</v>
      </c>
      <c r="AB37" s="15">
        <f t="shared" si="3"/>
        <v>0</v>
      </c>
      <c r="AC37" s="60">
        <f t="shared" si="3"/>
        <v>223300</v>
      </c>
      <c r="AD37" s="60">
        <f t="shared" si="3"/>
        <v>381500</v>
      </c>
      <c r="AE37" s="60">
        <f t="shared" si="3"/>
        <v>0</v>
      </c>
      <c r="AF37" s="60">
        <f t="shared" si="3"/>
        <v>0</v>
      </c>
      <c r="AG37" s="60">
        <f t="shared" si="3"/>
        <v>115000</v>
      </c>
      <c r="AH37" s="101">
        <f t="shared" si="1"/>
        <v>4621.0857600001618</v>
      </c>
    </row>
    <row r="38" spans="1:34" s="37" customFormat="1" ht="25.5" x14ac:dyDescent="0.2">
      <c r="A38" s="128" t="s">
        <v>101</v>
      </c>
      <c r="B38" s="43"/>
      <c r="C38" s="43"/>
      <c r="D38" s="43">
        <v>9288.98</v>
      </c>
      <c r="E38" s="213">
        <v>0</v>
      </c>
      <c r="F38" s="43"/>
      <c r="G38" s="44"/>
      <c r="H38" s="45"/>
      <c r="I38" s="45">
        <v>247.28</v>
      </c>
      <c r="J38" s="58">
        <v>9490.67</v>
      </c>
      <c r="K38" s="43"/>
      <c r="L38" s="45"/>
      <c r="M38" s="45"/>
      <c r="N38" s="46"/>
      <c r="O38" s="55"/>
      <c r="P38" s="45"/>
      <c r="Q38" s="55"/>
      <c r="R38" s="58"/>
      <c r="S38" s="43"/>
      <c r="T38" s="45"/>
      <c r="U38" s="45"/>
      <c r="V38" s="45"/>
      <c r="W38" s="45"/>
      <c r="X38" s="46"/>
      <c r="Y38" s="146"/>
      <c r="Z38" s="45"/>
      <c r="AA38" s="46"/>
      <c r="AB38" s="146"/>
      <c r="AC38" s="45"/>
      <c r="AD38" s="45"/>
      <c r="AE38" s="43"/>
      <c r="AF38" s="45"/>
      <c r="AG38" s="45"/>
      <c r="AH38" s="101">
        <f t="shared" si="1"/>
        <v>45.590000000000146</v>
      </c>
    </row>
    <row r="39" spans="1:34" s="37" customFormat="1" x14ac:dyDescent="0.2">
      <c r="A39" s="128" t="s">
        <v>61</v>
      </c>
      <c r="B39" s="43"/>
      <c r="C39" s="43">
        <v>9399.1217199999992</v>
      </c>
      <c r="D39" s="43">
        <v>3466.25</v>
      </c>
      <c r="E39" s="213"/>
      <c r="F39" s="43"/>
      <c r="G39" s="44"/>
      <c r="H39" s="45"/>
      <c r="I39" s="45">
        <v>5582.49</v>
      </c>
      <c r="J39" s="58">
        <v>18447.86</v>
      </c>
      <c r="K39" s="43"/>
      <c r="L39" s="45"/>
      <c r="M39" s="45"/>
      <c r="N39" s="46"/>
      <c r="O39" s="55"/>
      <c r="P39" s="45"/>
      <c r="Q39" s="55"/>
      <c r="R39" s="58"/>
      <c r="S39" s="43"/>
      <c r="T39" s="45"/>
      <c r="U39" s="45"/>
      <c r="V39" s="45"/>
      <c r="W39" s="45"/>
      <c r="X39" s="46"/>
      <c r="Y39" s="146"/>
      <c r="Z39" s="45"/>
      <c r="AA39" s="46"/>
      <c r="AB39" s="146"/>
      <c r="AC39" s="45"/>
      <c r="AD39" s="45"/>
      <c r="AE39" s="43"/>
      <c r="AF39" s="45"/>
      <c r="AG39" s="45"/>
      <c r="AH39" s="101">
        <f t="shared" si="1"/>
        <v>1.720000000204891E-3</v>
      </c>
    </row>
    <row r="40" spans="1:34" s="37" customFormat="1" x14ac:dyDescent="0.2">
      <c r="A40" s="128" t="s">
        <v>62</v>
      </c>
      <c r="B40" s="43"/>
      <c r="C40" s="43">
        <v>14752.691030000002</v>
      </c>
      <c r="D40" s="43">
        <v>8810.76</v>
      </c>
      <c r="E40" s="213">
        <v>289.41000000000003</v>
      </c>
      <c r="F40" s="43"/>
      <c r="G40" s="44"/>
      <c r="H40" s="45"/>
      <c r="I40" s="45"/>
      <c r="J40" s="58">
        <v>23274.1</v>
      </c>
      <c r="K40" s="43"/>
      <c r="L40" s="45"/>
      <c r="M40" s="45"/>
      <c r="N40" s="46"/>
      <c r="O40" s="55"/>
      <c r="P40" s="45"/>
      <c r="Q40" s="55"/>
      <c r="R40" s="58"/>
      <c r="S40" s="43"/>
      <c r="T40" s="45"/>
      <c r="U40" s="45"/>
      <c r="V40" s="45"/>
      <c r="W40" s="45"/>
      <c r="X40" s="46"/>
      <c r="Y40" s="146"/>
      <c r="Z40" s="45"/>
      <c r="AA40" s="46"/>
      <c r="AB40" s="146"/>
      <c r="AC40" s="45"/>
      <c r="AD40" s="45"/>
      <c r="AE40" s="43"/>
      <c r="AF40" s="45"/>
      <c r="AG40" s="45"/>
      <c r="AH40" s="101">
        <f t="shared" si="1"/>
        <v>-5.8969999994587852E-2</v>
      </c>
    </row>
    <row r="41" spans="1:34" s="37" customFormat="1" x14ac:dyDescent="0.2">
      <c r="A41" s="128" t="s">
        <v>63</v>
      </c>
      <c r="B41" s="43"/>
      <c r="C41" s="43">
        <v>21763.88624</v>
      </c>
      <c r="D41" s="43"/>
      <c r="E41" s="213">
        <v>21763.89</v>
      </c>
      <c r="F41" s="43"/>
      <c r="G41" s="44"/>
      <c r="H41" s="45"/>
      <c r="I41" s="45"/>
      <c r="J41" s="58"/>
      <c r="K41" s="43"/>
      <c r="L41" s="45"/>
      <c r="M41" s="45"/>
      <c r="N41" s="46"/>
      <c r="O41" s="55"/>
      <c r="P41" s="45"/>
      <c r="Q41" s="55"/>
      <c r="R41" s="58"/>
      <c r="S41" s="43"/>
      <c r="T41" s="45"/>
      <c r="U41" s="45"/>
      <c r="V41" s="45"/>
      <c r="W41" s="45"/>
      <c r="X41" s="46"/>
      <c r="Y41" s="146"/>
      <c r="Z41" s="45"/>
      <c r="AA41" s="46"/>
      <c r="AB41" s="146"/>
      <c r="AC41" s="45"/>
      <c r="AD41" s="45"/>
      <c r="AE41" s="43"/>
      <c r="AF41" s="45"/>
      <c r="AG41" s="45"/>
      <c r="AH41" s="101">
        <f t="shared" si="1"/>
        <v>-3.7599999996018596E-3</v>
      </c>
    </row>
    <row r="42" spans="1:34" s="37" customFormat="1" ht="25.5" x14ac:dyDescent="0.2">
      <c r="A42" s="128" t="s">
        <v>64</v>
      </c>
      <c r="B42" s="43"/>
      <c r="C42" s="43">
        <v>53656.974830000006</v>
      </c>
      <c r="D42" s="43">
        <v>22429.23</v>
      </c>
      <c r="E42" s="213">
        <v>76086.210000000006</v>
      </c>
      <c r="F42" s="43"/>
      <c r="G42" s="44"/>
      <c r="H42" s="45"/>
      <c r="I42" s="45"/>
      <c r="J42" s="58"/>
      <c r="K42" s="43"/>
      <c r="L42" s="45"/>
      <c r="M42" s="45"/>
      <c r="N42" s="46"/>
      <c r="O42" s="55"/>
      <c r="P42" s="45"/>
      <c r="Q42" s="55"/>
      <c r="R42" s="58"/>
      <c r="S42" s="43"/>
      <c r="T42" s="45"/>
      <c r="U42" s="45"/>
      <c r="V42" s="45"/>
      <c r="W42" s="45"/>
      <c r="X42" s="46"/>
      <c r="Y42" s="146"/>
      <c r="Z42" s="45"/>
      <c r="AA42" s="46"/>
      <c r="AB42" s="146"/>
      <c r="AC42" s="45"/>
      <c r="AD42" s="45"/>
      <c r="AE42" s="43"/>
      <c r="AF42" s="45"/>
      <c r="AG42" s="45"/>
      <c r="AH42" s="101">
        <f t="shared" si="1"/>
        <v>-5.1700000040000305E-3</v>
      </c>
    </row>
    <row r="43" spans="1:34" s="37" customFormat="1" x14ac:dyDescent="0.2">
      <c r="A43" s="128" t="s">
        <v>65</v>
      </c>
      <c r="B43" s="43"/>
      <c r="C43" s="43">
        <v>18168.2389</v>
      </c>
      <c r="D43" s="43">
        <v>64478.93</v>
      </c>
      <c r="E43" s="213"/>
      <c r="F43" s="43"/>
      <c r="G43" s="44">
        <v>13.86</v>
      </c>
      <c r="H43" s="45"/>
      <c r="I43" s="45">
        <v>14467.53</v>
      </c>
      <c r="J43" s="58">
        <f>97114.7+13.86</f>
        <v>97128.56</v>
      </c>
      <c r="K43" s="43"/>
      <c r="L43" s="45"/>
      <c r="M43" s="45"/>
      <c r="N43" s="46"/>
      <c r="O43" s="55"/>
      <c r="P43" s="45"/>
      <c r="Q43" s="55"/>
      <c r="R43" s="58"/>
      <c r="S43" s="43"/>
      <c r="T43" s="45"/>
      <c r="U43" s="45"/>
      <c r="V43" s="45"/>
      <c r="W43" s="45"/>
      <c r="X43" s="46"/>
      <c r="Y43" s="146"/>
      <c r="Z43" s="45"/>
      <c r="AA43" s="46"/>
      <c r="AB43" s="146"/>
      <c r="AC43" s="45"/>
      <c r="AD43" s="45"/>
      <c r="AE43" s="43"/>
      <c r="AF43" s="45"/>
      <c r="AG43" s="45"/>
      <c r="AH43" s="101">
        <f t="shared" si="1"/>
        <v>-13.861099999994622</v>
      </c>
    </row>
    <row r="44" spans="1:34" s="37" customFormat="1" x14ac:dyDescent="0.2">
      <c r="A44" s="128" t="s">
        <v>66</v>
      </c>
      <c r="B44" s="43"/>
      <c r="C44" s="43"/>
      <c r="D44" s="43"/>
      <c r="E44" s="213"/>
      <c r="F44" s="43"/>
      <c r="G44" s="44"/>
      <c r="H44" s="45"/>
      <c r="I44" s="45"/>
      <c r="J44" s="58"/>
      <c r="K44" s="43"/>
      <c r="L44" s="45"/>
      <c r="M44" s="45"/>
      <c r="N44" s="46"/>
      <c r="O44" s="55"/>
      <c r="P44" s="45"/>
      <c r="Q44" s="55"/>
      <c r="R44" s="58"/>
      <c r="S44" s="43"/>
      <c r="T44" s="45"/>
      <c r="U44" s="45"/>
      <c r="V44" s="45"/>
      <c r="W44" s="45"/>
      <c r="X44" s="46"/>
      <c r="Y44" s="146"/>
      <c r="Z44" s="45"/>
      <c r="AA44" s="46"/>
      <c r="AB44" s="146"/>
      <c r="AC44" s="45"/>
      <c r="AD44" s="45"/>
      <c r="AE44" s="43"/>
      <c r="AF44" s="45"/>
      <c r="AG44" s="45"/>
      <c r="AH44" s="101">
        <f t="shared" si="1"/>
        <v>0</v>
      </c>
    </row>
    <row r="45" spans="1:34" s="37" customFormat="1" x14ac:dyDescent="0.2">
      <c r="A45" s="128" t="s">
        <v>67</v>
      </c>
      <c r="B45" s="43"/>
      <c r="C45" s="43"/>
      <c r="D45" s="43"/>
      <c r="E45" s="213"/>
      <c r="F45" s="43"/>
      <c r="G45" s="44"/>
      <c r="H45" s="45"/>
      <c r="I45" s="45"/>
      <c r="J45" s="58"/>
      <c r="K45" s="43"/>
      <c r="L45" s="45"/>
      <c r="M45" s="45">
        <v>16540</v>
      </c>
      <c r="N45" s="46">
        <v>0</v>
      </c>
      <c r="O45" s="55"/>
      <c r="P45" s="45"/>
      <c r="Q45" s="55"/>
      <c r="R45" s="58">
        <v>16540</v>
      </c>
      <c r="S45" s="43"/>
      <c r="T45" s="45"/>
      <c r="U45" s="45"/>
      <c r="V45" s="45"/>
      <c r="W45" s="45"/>
      <c r="X45" s="46"/>
      <c r="Y45" s="146"/>
      <c r="Z45" s="45"/>
      <c r="AA45" s="46"/>
      <c r="AB45" s="146"/>
      <c r="AC45" s="45"/>
      <c r="AD45" s="45"/>
      <c r="AE45" s="43"/>
      <c r="AF45" s="45"/>
      <c r="AG45" s="45"/>
      <c r="AH45" s="101">
        <f t="shared" si="1"/>
        <v>0</v>
      </c>
    </row>
    <row r="46" spans="1:34" s="37" customFormat="1" ht="25.5" x14ac:dyDescent="0.2">
      <c r="A46" s="128" t="s">
        <v>68</v>
      </c>
      <c r="B46" s="43"/>
      <c r="C46" s="43"/>
      <c r="D46" s="43">
        <v>1576.58</v>
      </c>
      <c r="E46" s="213"/>
      <c r="F46" s="43"/>
      <c r="G46" s="44">
        <v>78.94</v>
      </c>
      <c r="H46" s="45"/>
      <c r="I46" s="45">
        <v>25165.53</v>
      </c>
      <c r="J46" s="58">
        <v>78.94</v>
      </c>
      <c r="K46" s="43"/>
      <c r="L46" s="45"/>
      <c r="M46" s="45">
        <v>9848.58</v>
      </c>
      <c r="N46" s="46">
        <v>37011</v>
      </c>
      <c r="O46" s="55"/>
      <c r="P46" s="45"/>
      <c r="Q46" s="55"/>
      <c r="R46" s="58"/>
      <c r="S46" s="43"/>
      <c r="T46" s="45"/>
      <c r="U46" s="45"/>
      <c r="V46" s="45"/>
      <c r="W46" s="45"/>
      <c r="X46" s="46"/>
      <c r="Y46" s="146"/>
      <c r="Z46" s="45"/>
      <c r="AA46" s="46"/>
      <c r="AB46" s="146"/>
      <c r="AC46" s="45"/>
      <c r="AD46" s="45"/>
      <c r="AE46" s="43"/>
      <c r="AF46" s="45"/>
      <c r="AG46" s="45"/>
      <c r="AH46" s="101">
        <f t="shared" si="1"/>
        <v>-499.25</v>
      </c>
    </row>
    <row r="47" spans="1:34" ht="28.5" customHeight="1" x14ac:dyDescent="0.2">
      <c r="A47" s="134" t="s">
        <v>237</v>
      </c>
      <c r="B47" s="27"/>
      <c r="C47" s="27"/>
      <c r="D47" s="27"/>
      <c r="E47" s="215"/>
      <c r="F47" s="27">
        <v>37193.040000000001</v>
      </c>
      <c r="G47" s="11"/>
      <c r="H47" s="129"/>
      <c r="I47" s="11"/>
      <c r="J47" s="61"/>
      <c r="K47" s="228">
        <v>17174</v>
      </c>
      <c r="L47" s="129"/>
      <c r="M47" s="135">
        <v>0</v>
      </c>
      <c r="N47" s="33"/>
      <c r="O47" s="65"/>
      <c r="P47" s="12"/>
      <c r="Q47" s="160"/>
      <c r="R47" s="141"/>
      <c r="S47" s="36"/>
      <c r="T47" s="45"/>
      <c r="U47" s="45"/>
      <c r="V47" s="45"/>
      <c r="W47" s="135"/>
      <c r="X47" s="151"/>
      <c r="Y47" s="146"/>
      <c r="Z47" s="135"/>
      <c r="AA47" s="151"/>
      <c r="AB47" s="146"/>
      <c r="AC47" s="135"/>
      <c r="AD47" s="135"/>
      <c r="AE47" s="150"/>
      <c r="AF47" s="135"/>
      <c r="AG47" s="135"/>
      <c r="AH47" s="101">
        <f t="shared" si="1"/>
        <v>0</v>
      </c>
    </row>
    <row r="48" spans="1:34" ht="28.5" customHeight="1" x14ac:dyDescent="0.2">
      <c r="A48" s="134" t="s">
        <v>205</v>
      </c>
      <c r="B48" s="27"/>
      <c r="C48" s="27"/>
      <c r="D48" s="27"/>
      <c r="E48" s="215"/>
      <c r="F48" s="27"/>
      <c r="G48" s="11"/>
      <c r="H48" s="129"/>
      <c r="I48" s="11"/>
      <c r="J48" s="61"/>
      <c r="K48" s="228">
        <v>5400</v>
      </c>
      <c r="L48" s="129"/>
      <c r="M48" s="135">
        <v>30000</v>
      </c>
      <c r="N48" s="33"/>
      <c r="O48" s="228">
        <v>52800</v>
      </c>
      <c r="P48" s="12"/>
      <c r="Q48" s="160">
        <v>297925</v>
      </c>
      <c r="R48" s="141">
        <v>30000</v>
      </c>
      <c r="S48" s="36">
        <v>75900</v>
      </c>
      <c r="T48" s="45"/>
      <c r="U48" s="45"/>
      <c r="V48" s="45">
        <v>428825</v>
      </c>
      <c r="W48" s="135">
        <v>297925</v>
      </c>
      <c r="X48" s="151"/>
      <c r="Y48" s="146">
        <v>85200</v>
      </c>
      <c r="Z48" s="135">
        <v>481525</v>
      </c>
      <c r="AA48" s="151">
        <v>428825</v>
      </c>
      <c r="AB48" s="146"/>
      <c r="AC48" s="135">
        <v>397800</v>
      </c>
      <c r="AD48" s="135">
        <v>481525</v>
      </c>
      <c r="AE48" s="150"/>
      <c r="AF48" s="135"/>
      <c r="AG48" s="135">
        <v>397800</v>
      </c>
      <c r="AH48" s="101">
        <f t="shared" si="1"/>
        <v>0</v>
      </c>
    </row>
    <row r="49" spans="1:34" s="37" customFormat="1" x14ac:dyDescent="0.2">
      <c r="A49" s="38" t="s">
        <v>206</v>
      </c>
      <c r="B49" s="43"/>
      <c r="C49" s="43"/>
      <c r="D49" s="43"/>
      <c r="E49" s="213"/>
      <c r="F49" s="43"/>
      <c r="G49" s="44"/>
      <c r="H49" s="45"/>
      <c r="I49" s="45"/>
      <c r="J49" s="58"/>
      <c r="K49" s="43"/>
      <c r="L49" s="45"/>
      <c r="M49" s="45"/>
      <c r="N49" s="46"/>
      <c r="O49" s="55"/>
      <c r="P49" s="45"/>
      <c r="Q49" s="55"/>
      <c r="R49" s="58"/>
      <c r="S49" s="43"/>
      <c r="T49" s="45"/>
      <c r="U49" s="45"/>
      <c r="V49" s="45">
        <v>72000</v>
      </c>
      <c r="W49" s="45"/>
      <c r="X49" s="46">
        <v>30300</v>
      </c>
      <c r="Y49" s="146"/>
      <c r="Z49" s="45">
        <v>177000</v>
      </c>
      <c r="AA49" s="46">
        <v>140750</v>
      </c>
      <c r="AB49" s="146"/>
      <c r="AC49" s="45"/>
      <c r="AD49" s="45">
        <v>77950</v>
      </c>
      <c r="AE49" s="43"/>
      <c r="AF49" s="45"/>
      <c r="AG49" s="45"/>
      <c r="AH49" s="101">
        <f t="shared" si="1"/>
        <v>0</v>
      </c>
    </row>
    <row r="50" spans="1:34" x14ac:dyDescent="0.2">
      <c r="A50" s="16" t="s">
        <v>2</v>
      </c>
      <c r="B50" s="23"/>
      <c r="C50" s="23"/>
      <c r="D50" s="23"/>
      <c r="E50" s="214"/>
      <c r="F50" s="23">
        <v>71.91</v>
      </c>
      <c r="G50" s="6"/>
      <c r="H50" s="6">
        <v>0</v>
      </c>
      <c r="I50" s="6"/>
      <c r="J50" s="59"/>
      <c r="K50" s="47"/>
      <c r="L50" s="9">
        <v>0</v>
      </c>
      <c r="M50" s="9"/>
      <c r="N50" s="34"/>
      <c r="O50" s="186"/>
      <c r="P50" s="6">
        <v>0</v>
      </c>
      <c r="Q50" s="56"/>
      <c r="R50" s="59"/>
      <c r="S50" s="23"/>
      <c r="T50" s="6">
        <v>0</v>
      </c>
      <c r="U50" s="6"/>
      <c r="V50" s="6"/>
      <c r="W50" s="6"/>
      <c r="X50" s="24"/>
      <c r="Y50" s="159"/>
      <c r="Z50" s="6"/>
      <c r="AA50" s="24"/>
      <c r="AB50" s="159"/>
      <c r="AC50" s="6"/>
      <c r="AD50" s="6"/>
      <c r="AE50" s="23"/>
      <c r="AF50" s="6"/>
      <c r="AG50" s="6"/>
      <c r="AH50" s="101">
        <f t="shared" si="1"/>
        <v>0</v>
      </c>
    </row>
    <row r="51" spans="1:34" x14ac:dyDescent="0.2">
      <c r="A51" s="16" t="s">
        <v>3</v>
      </c>
      <c r="B51" s="23"/>
      <c r="C51" s="23"/>
      <c r="D51" s="23"/>
      <c r="E51" s="214"/>
      <c r="F51" s="23"/>
      <c r="G51" s="6"/>
      <c r="H51" s="6">
        <v>615</v>
      </c>
      <c r="I51" s="6"/>
      <c r="J51" s="59"/>
      <c r="K51" s="47"/>
      <c r="L51" s="7">
        <v>40400</v>
      </c>
      <c r="M51" s="7"/>
      <c r="N51" s="32"/>
      <c r="O51" s="131"/>
      <c r="P51" s="6">
        <v>10000</v>
      </c>
      <c r="Q51" s="56"/>
      <c r="R51" s="59"/>
      <c r="S51" s="23"/>
      <c r="T51" s="6"/>
      <c r="U51" s="6"/>
      <c r="V51" s="6"/>
      <c r="W51" s="6"/>
      <c r="X51" s="24"/>
      <c r="Y51" s="159"/>
      <c r="Z51" s="6"/>
      <c r="AA51" s="24"/>
      <c r="AB51" s="159"/>
      <c r="AC51" s="6"/>
      <c r="AD51" s="6"/>
      <c r="AE51" s="23"/>
      <c r="AF51" s="6"/>
      <c r="AG51" s="6"/>
      <c r="AH51" s="101">
        <f t="shared" si="1"/>
        <v>0</v>
      </c>
    </row>
    <row r="52" spans="1:34" x14ac:dyDescent="0.2">
      <c r="A52" s="16" t="s">
        <v>1</v>
      </c>
      <c r="B52" s="23"/>
      <c r="C52" s="23"/>
      <c r="D52" s="23"/>
      <c r="E52" s="214"/>
      <c r="F52" s="23"/>
      <c r="G52" s="6"/>
      <c r="H52" s="6"/>
      <c r="I52" s="6"/>
      <c r="J52" s="59"/>
      <c r="K52" s="35"/>
      <c r="L52" s="7"/>
      <c r="M52" s="7"/>
      <c r="N52" s="32"/>
      <c r="O52" s="131"/>
      <c r="P52" s="6">
        <v>30000</v>
      </c>
      <c r="Q52" s="56"/>
      <c r="R52" s="59"/>
      <c r="S52" s="23"/>
      <c r="T52" s="6">
        <v>65000</v>
      </c>
      <c r="U52" s="6"/>
      <c r="V52" s="6"/>
      <c r="W52" s="6"/>
      <c r="X52" s="24"/>
      <c r="Y52" s="159"/>
      <c r="Z52" s="6"/>
      <c r="AA52" s="24"/>
      <c r="AB52" s="159"/>
      <c r="AC52" s="6"/>
      <c r="AD52" s="6"/>
      <c r="AE52" s="23"/>
      <c r="AF52" s="6"/>
      <c r="AG52" s="6"/>
      <c r="AH52" s="101">
        <f t="shared" si="1"/>
        <v>0</v>
      </c>
    </row>
    <row r="53" spans="1:34" x14ac:dyDescent="0.2">
      <c r="A53" s="16" t="s">
        <v>4</v>
      </c>
      <c r="B53" s="23"/>
      <c r="C53" s="23"/>
      <c r="D53" s="23"/>
      <c r="E53" s="214"/>
      <c r="F53" s="23"/>
      <c r="G53" s="6"/>
      <c r="H53" s="6">
        <v>25000</v>
      </c>
      <c r="I53" s="6"/>
      <c r="J53" s="59"/>
      <c r="K53" s="47"/>
      <c r="L53" s="7">
        <v>70000</v>
      </c>
      <c r="M53" s="7"/>
      <c r="N53" s="32"/>
      <c r="O53" s="131"/>
      <c r="P53" s="6"/>
      <c r="Q53" s="56"/>
      <c r="R53" s="59"/>
      <c r="S53" s="23"/>
      <c r="T53" s="6"/>
      <c r="U53" s="6"/>
      <c r="V53" s="6"/>
      <c r="W53" s="6"/>
      <c r="X53" s="24"/>
      <c r="Y53" s="159"/>
      <c r="Z53" s="6"/>
      <c r="AA53" s="24"/>
      <c r="AB53" s="159"/>
      <c r="AC53" s="6"/>
      <c r="AD53" s="6"/>
      <c r="AE53" s="23"/>
      <c r="AF53" s="6"/>
      <c r="AG53" s="6"/>
      <c r="AH53" s="101">
        <f t="shared" si="1"/>
        <v>0</v>
      </c>
    </row>
    <row r="54" spans="1:34" s="8" customFormat="1" x14ac:dyDescent="0.2">
      <c r="A54" s="17" t="s">
        <v>27</v>
      </c>
      <c r="B54" s="25">
        <f t="shared" ref="B54:T54" si="4">SUM(B38:B53)</f>
        <v>0</v>
      </c>
      <c r="C54" s="25">
        <f t="shared" si="4"/>
        <v>117740.91272000001</v>
      </c>
      <c r="D54" s="25">
        <f t="shared" si="4"/>
        <v>110050.73</v>
      </c>
      <c r="E54" s="142">
        <f t="shared" si="4"/>
        <v>98139.510000000009</v>
      </c>
      <c r="F54" s="199">
        <f t="shared" si="4"/>
        <v>37264.950000000004</v>
      </c>
      <c r="G54" s="191">
        <f t="shared" si="4"/>
        <v>92.8</v>
      </c>
      <c r="H54" s="191">
        <f t="shared" si="4"/>
        <v>25615</v>
      </c>
      <c r="I54" s="191">
        <f t="shared" si="4"/>
        <v>45462.83</v>
      </c>
      <c r="J54" s="218">
        <f t="shared" si="4"/>
        <v>148420.13</v>
      </c>
      <c r="K54" s="199">
        <f t="shared" si="4"/>
        <v>22574</v>
      </c>
      <c r="L54" s="191">
        <f t="shared" si="4"/>
        <v>110400</v>
      </c>
      <c r="M54" s="191">
        <f t="shared" si="4"/>
        <v>56388.58</v>
      </c>
      <c r="N54" s="200">
        <f t="shared" si="4"/>
        <v>37011</v>
      </c>
      <c r="O54" s="169">
        <f t="shared" si="4"/>
        <v>52800</v>
      </c>
      <c r="P54" s="191">
        <f t="shared" si="4"/>
        <v>40000</v>
      </c>
      <c r="Q54" s="15">
        <f t="shared" si="4"/>
        <v>297925</v>
      </c>
      <c r="R54" s="60">
        <f t="shared" si="4"/>
        <v>46540</v>
      </c>
      <c r="S54" s="199">
        <f t="shared" si="4"/>
        <v>75900</v>
      </c>
      <c r="T54" s="191">
        <f t="shared" si="4"/>
        <v>65000</v>
      </c>
      <c r="U54" s="191">
        <f>SUM(U38:U53)</f>
        <v>0</v>
      </c>
      <c r="V54" s="191">
        <f t="shared" ref="V54:AG54" si="5">SUM(V38:V53)</f>
        <v>500825</v>
      </c>
      <c r="W54" s="191">
        <f t="shared" si="5"/>
        <v>297925</v>
      </c>
      <c r="X54" s="200">
        <f t="shared" si="5"/>
        <v>30300</v>
      </c>
      <c r="Y54" s="191">
        <f t="shared" si="5"/>
        <v>85200</v>
      </c>
      <c r="Z54" s="191">
        <f t="shared" si="5"/>
        <v>658525</v>
      </c>
      <c r="AA54" s="200">
        <f t="shared" si="5"/>
        <v>569575</v>
      </c>
      <c r="AB54" s="15">
        <f t="shared" si="5"/>
        <v>0</v>
      </c>
      <c r="AC54" s="15">
        <f t="shared" si="5"/>
        <v>397800</v>
      </c>
      <c r="AD54" s="15">
        <f t="shared" si="5"/>
        <v>559475</v>
      </c>
      <c r="AE54" s="15">
        <f t="shared" si="5"/>
        <v>0</v>
      </c>
      <c r="AF54" s="15">
        <f t="shared" si="5"/>
        <v>0</v>
      </c>
      <c r="AG54" s="15">
        <f t="shared" si="5"/>
        <v>397800</v>
      </c>
      <c r="AH54" s="101">
        <f t="shared" si="1"/>
        <v>-467.58727999997791</v>
      </c>
    </row>
    <row r="55" spans="1:34" s="37" customFormat="1" ht="25.5" x14ac:dyDescent="0.2">
      <c r="A55" s="130" t="s">
        <v>69</v>
      </c>
      <c r="B55" s="43"/>
      <c r="C55" s="43"/>
      <c r="D55" s="43">
        <v>12148.69</v>
      </c>
      <c r="E55" s="213"/>
      <c r="F55" s="43"/>
      <c r="G55" s="45">
        <v>258.8</v>
      </c>
      <c r="H55" s="45"/>
      <c r="I55" s="45">
        <f>10049+2355.75</f>
        <v>12404.75</v>
      </c>
      <c r="J55" s="45">
        <v>258.8</v>
      </c>
      <c r="K55" s="43"/>
      <c r="L55" s="45"/>
      <c r="M55" s="45"/>
      <c r="N55" s="46">
        <v>24554</v>
      </c>
      <c r="O55" s="55"/>
      <c r="P55" s="45"/>
      <c r="Q55" s="55"/>
      <c r="R55" s="58"/>
      <c r="S55" s="43"/>
      <c r="T55" s="45"/>
      <c r="U55" s="45"/>
      <c r="V55" s="45"/>
      <c r="W55" s="45"/>
      <c r="X55" s="46"/>
      <c r="Y55" s="146"/>
      <c r="Z55" s="45"/>
      <c r="AA55" s="46"/>
      <c r="AB55" s="146"/>
      <c r="AC55" s="45"/>
      <c r="AD55" s="45"/>
      <c r="AE55" s="43"/>
      <c r="AF55" s="45"/>
      <c r="AG55" s="45"/>
      <c r="AH55" s="101">
        <f t="shared" si="1"/>
        <v>-259.35999999999694</v>
      </c>
    </row>
    <row r="56" spans="1:34" s="37" customFormat="1" x14ac:dyDescent="0.2">
      <c r="A56" s="130" t="s">
        <v>70</v>
      </c>
      <c r="B56" s="43"/>
      <c r="C56" s="43"/>
      <c r="D56" s="43">
        <v>5289.39</v>
      </c>
      <c r="E56" s="213"/>
      <c r="F56" s="43"/>
      <c r="G56" s="45">
        <v>94.01</v>
      </c>
      <c r="H56" s="45"/>
      <c r="I56" s="45">
        <f>6604+1011.92</f>
        <v>7615.92</v>
      </c>
      <c r="J56" s="45">
        <v>94.01</v>
      </c>
      <c r="K56" s="43"/>
      <c r="L56" s="45"/>
      <c r="M56" s="45"/>
      <c r="N56" s="46">
        <v>12906</v>
      </c>
      <c r="O56" s="55"/>
      <c r="P56" s="45"/>
      <c r="Q56" s="55"/>
      <c r="R56" s="58"/>
      <c r="S56" s="43"/>
      <c r="T56" s="45"/>
      <c r="U56" s="45"/>
      <c r="V56" s="45"/>
      <c r="W56" s="45"/>
      <c r="X56" s="46"/>
      <c r="Y56" s="146"/>
      <c r="Z56" s="45"/>
      <c r="AA56" s="46"/>
      <c r="AB56" s="146"/>
      <c r="AC56" s="45"/>
      <c r="AD56" s="45"/>
      <c r="AE56" s="43"/>
      <c r="AF56" s="45"/>
      <c r="AG56" s="45"/>
      <c r="AH56" s="101">
        <f t="shared" si="1"/>
        <v>-94.699999999998909</v>
      </c>
    </row>
    <row r="57" spans="1:34" s="37" customFormat="1" ht="25.5" x14ac:dyDescent="0.2">
      <c r="A57" s="130" t="s">
        <v>71</v>
      </c>
      <c r="B57" s="43"/>
      <c r="C57" s="43"/>
      <c r="D57" s="43">
        <v>9693.66</v>
      </c>
      <c r="E57" s="213"/>
      <c r="F57" s="43"/>
      <c r="G57" s="45">
        <v>223.25</v>
      </c>
      <c r="H57" s="45"/>
      <c r="I57" s="45">
        <f>9172+2111.11</f>
        <v>11283.11</v>
      </c>
      <c r="J57" s="45">
        <v>223.25</v>
      </c>
      <c r="K57" s="43"/>
      <c r="L57" s="45"/>
      <c r="M57" s="45"/>
      <c r="N57" s="46">
        <v>20977</v>
      </c>
      <c r="O57" s="55"/>
      <c r="P57" s="45"/>
      <c r="Q57" s="55"/>
      <c r="R57" s="58"/>
      <c r="S57" s="43"/>
      <c r="T57" s="45"/>
      <c r="U57" s="45"/>
      <c r="V57" s="45"/>
      <c r="W57" s="45"/>
      <c r="X57" s="46"/>
      <c r="Y57" s="146"/>
      <c r="Z57" s="45"/>
      <c r="AA57" s="46"/>
      <c r="AB57" s="146"/>
      <c r="AC57" s="45"/>
      <c r="AD57" s="45"/>
      <c r="AE57" s="43"/>
      <c r="AF57" s="45"/>
      <c r="AG57" s="45"/>
      <c r="AH57" s="101">
        <f t="shared" si="1"/>
        <v>-223.47999999999956</v>
      </c>
    </row>
    <row r="58" spans="1:34" s="37" customFormat="1" ht="25.5" x14ac:dyDescent="0.2">
      <c r="A58" s="130" t="s">
        <v>72</v>
      </c>
      <c r="B58" s="43"/>
      <c r="C58" s="43"/>
      <c r="D58" s="43"/>
      <c r="E58" s="213"/>
      <c r="F58" s="43"/>
      <c r="G58" s="45"/>
      <c r="H58" s="45"/>
      <c r="I58" s="45">
        <v>12830.33</v>
      </c>
      <c r="J58" s="58"/>
      <c r="K58" s="43"/>
      <c r="L58" s="45"/>
      <c r="M58" s="45">
        <v>18658</v>
      </c>
      <c r="N58" s="46"/>
      <c r="O58" s="55"/>
      <c r="P58" s="45"/>
      <c r="Q58" s="55"/>
      <c r="R58" s="58">
        <v>31488</v>
      </c>
      <c r="S58" s="43"/>
      <c r="T58" s="45"/>
      <c r="U58" s="45"/>
      <c r="V58" s="45"/>
      <c r="W58" s="45"/>
      <c r="X58" s="46"/>
      <c r="Y58" s="146"/>
      <c r="Z58" s="45"/>
      <c r="AA58" s="46"/>
      <c r="AB58" s="146"/>
      <c r="AC58" s="45"/>
      <c r="AD58" s="45"/>
      <c r="AE58" s="43"/>
      <c r="AF58" s="45"/>
      <c r="AG58" s="45"/>
      <c r="AH58" s="101">
        <f t="shared" si="1"/>
        <v>0.33000000000174623</v>
      </c>
    </row>
    <row r="59" spans="1:34" s="37" customFormat="1" x14ac:dyDescent="0.2">
      <c r="A59" s="130" t="s">
        <v>73</v>
      </c>
      <c r="B59" s="43"/>
      <c r="C59" s="43"/>
      <c r="D59" s="43"/>
      <c r="E59" s="213"/>
      <c r="F59" s="43"/>
      <c r="G59" s="45"/>
      <c r="H59" s="45">
        <v>46471.27</v>
      </c>
      <c r="I59" s="45">
        <v>4112</v>
      </c>
      <c r="J59" s="58"/>
      <c r="K59" s="43"/>
      <c r="L59" s="45">
        <v>66735</v>
      </c>
      <c r="M59" s="45">
        <v>23750</v>
      </c>
      <c r="N59" s="46"/>
      <c r="O59" s="55"/>
      <c r="P59" s="45">
        <v>64910</v>
      </c>
      <c r="Q59" s="55">
        <v>20347</v>
      </c>
      <c r="R59" s="58">
        <v>48209</v>
      </c>
      <c r="S59" s="43"/>
      <c r="T59" s="45"/>
      <c r="U59" s="45"/>
      <c r="V59" s="45"/>
      <c r="W59" s="45"/>
      <c r="X59" s="46"/>
      <c r="Y59" s="146"/>
      <c r="Z59" s="45"/>
      <c r="AA59" s="46"/>
      <c r="AB59" s="146"/>
      <c r="AC59" s="45"/>
      <c r="AD59" s="45"/>
      <c r="AE59" s="43"/>
      <c r="AF59" s="45"/>
      <c r="AG59" s="45"/>
      <c r="AH59" s="101">
        <f t="shared" si="1"/>
        <v>0</v>
      </c>
    </row>
    <row r="60" spans="1:34" s="37" customFormat="1" ht="25.5" x14ac:dyDescent="0.2">
      <c r="A60" s="130" t="s">
        <v>74</v>
      </c>
      <c r="B60" s="43"/>
      <c r="C60" s="43"/>
      <c r="D60" s="43"/>
      <c r="E60" s="213"/>
      <c r="F60" s="43"/>
      <c r="G60" s="45"/>
      <c r="H60" s="45">
        <v>7525</v>
      </c>
      <c r="I60" s="45">
        <v>2975</v>
      </c>
      <c r="J60" s="58"/>
      <c r="K60" s="43"/>
      <c r="L60" s="45">
        <v>19984</v>
      </c>
      <c r="M60" s="45">
        <v>516</v>
      </c>
      <c r="N60" s="46">
        <v>0</v>
      </c>
      <c r="O60" s="55"/>
      <c r="P60" s="45">
        <v>33995</v>
      </c>
      <c r="Q60" s="55">
        <v>525</v>
      </c>
      <c r="R60" s="58">
        <v>4016</v>
      </c>
      <c r="S60" s="43"/>
      <c r="T60" s="45"/>
      <c r="U60" s="45"/>
      <c r="V60" s="45"/>
      <c r="W60" s="45"/>
      <c r="X60" s="46"/>
      <c r="Y60" s="146"/>
      <c r="Z60" s="45"/>
      <c r="AA60" s="46"/>
      <c r="AB60" s="146"/>
      <c r="AC60" s="45"/>
      <c r="AD60" s="45"/>
      <c r="AE60" s="43"/>
      <c r="AF60" s="45"/>
      <c r="AG60" s="45"/>
      <c r="AH60" s="101">
        <f t="shared" si="1"/>
        <v>0</v>
      </c>
    </row>
    <row r="61" spans="1:34" s="37" customFormat="1" ht="15" x14ac:dyDescent="0.25">
      <c r="A61" s="130" t="s">
        <v>75</v>
      </c>
      <c r="B61" s="43"/>
      <c r="C61" s="43"/>
      <c r="D61" s="43"/>
      <c r="E61" s="213"/>
      <c r="F61" s="43"/>
      <c r="G61" s="45"/>
      <c r="H61" s="45"/>
      <c r="I61" s="45">
        <v>7800</v>
      </c>
      <c r="J61" s="58"/>
      <c r="K61" s="43"/>
      <c r="L61" s="45"/>
      <c r="M61" s="103">
        <v>13283</v>
      </c>
      <c r="N61" s="46"/>
      <c r="O61" s="55"/>
      <c r="P61" s="45"/>
      <c r="Q61" s="55"/>
      <c r="R61" s="58">
        <v>21083</v>
      </c>
      <c r="S61" s="43"/>
      <c r="T61" s="45"/>
      <c r="U61" s="45"/>
      <c r="V61" s="45"/>
      <c r="W61" s="45"/>
      <c r="X61" s="46"/>
      <c r="Y61" s="146"/>
      <c r="Z61" s="45"/>
      <c r="AA61" s="46"/>
      <c r="AB61" s="146"/>
      <c r="AC61" s="45"/>
      <c r="AD61" s="45"/>
      <c r="AE61" s="43"/>
      <c r="AF61" s="45"/>
      <c r="AG61" s="45"/>
      <c r="AH61" s="101">
        <f t="shared" si="1"/>
        <v>0</v>
      </c>
    </row>
    <row r="62" spans="1:34" s="37" customFormat="1" x14ac:dyDescent="0.2">
      <c r="A62" s="130" t="s">
        <v>76</v>
      </c>
      <c r="B62" s="43"/>
      <c r="C62" s="43"/>
      <c r="D62" s="43"/>
      <c r="E62" s="213"/>
      <c r="F62" s="43"/>
      <c r="G62" s="45"/>
      <c r="H62" s="45"/>
      <c r="I62" s="45"/>
      <c r="J62" s="58"/>
      <c r="K62" s="43"/>
      <c r="L62" s="45"/>
      <c r="M62" s="7">
        <v>1750</v>
      </c>
      <c r="N62" s="46"/>
      <c r="O62" s="55"/>
      <c r="P62" s="45"/>
      <c r="Q62" s="55">
        <v>1750</v>
      </c>
      <c r="R62" s="58">
        <v>3500</v>
      </c>
      <c r="S62" s="43"/>
      <c r="T62" s="45"/>
      <c r="U62" s="45"/>
      <c r="V62" s="45"/>
      <c r="W62" s="45"/>
      <c r="X62" s="46"/>
      <c r="Y62" s="146"/>
      <c r="Z62" s="45"/>
      <c r="AA62" s="46"/>
      <c r="AB62" s="146"/>
      <c r="AC62" s="45"/>
      <c r="AD62" s="45"/>
      <c r="AE62" s="43"/>
      <c r="AF62" s="45"/>
      <c r="AG62" s="45"/>
      <c r="AH62" s="101">
        <f t="shared" si="1"/>
        <v>0</v>
      </c>
    </row>
    <row r="63" spans="1:34" x14ac:dyDescent="0.2">
      <c r="A63" s="18" t="s">
        <v>151</v>
      </c>
      <c r="B63" s="31"/>
      <c r="C63" s="31"/>
      <c r="D63" s="31"/>
      <c r="E63" s="216"/>
      <c r="F63" s="31"/>
      <c r="G63" s="7"/>
      <c r="H63" s="7">
        <v>9000</v>
      </c>
      <c r="I63" s="7"/>
      <c r="J63" s="62"/>
      <c r="K63" s="43"/>
      <c r="L63" s="7">
        <v>10000</v>
      </c>
      <c r="M63" s="7"/>
      <c r="N63" s="32"/>
      <c r="O63" s="131"/>
      <c r="P63" s="7"/>
      <c r="Q63" s="131"/>
      <c r="R63" s="62"/>
      <c r="S63" s="31"/>
      <c r="T63" s="6"/>
      <c r="U63" s="6"/>
      <c r="V63" s="6"/>
      <c r="W63" s="6"/>
      <c r="X63" s="24"/>
      <c r="Y63" s="159"/>
      <c r="Z63" s="6"/>
      <c r="AA63" s="24"/>
      <c r="AB63" s="159"/>
      <c r="AC63" s="6"/>
      <c r="AD63" s="6"/>
      <c r="AE63" s="23"/>
      <c r="AF63" s="6"/>
      <c r="AG63" s="6"/>
      <c r="AH63" s="101">
        <f t="shared" si="1"/>
        <v>0</v>
      </c>
    </row>
    <row r="64" spans="1:34" x14ac:dyDescent="0.2">
      <c r="A64" s="156" t="s">
        <v>211</v>
      </c>
      <c r="B64" s="31"/>
      <c r="C64" s="31"/>
      <c r="D64" s="31"/>
      <c r="E64" s="216"/>
      <c r="F64" s="31"/>
      <c r="G64" s="7"/>
      <c r="H64" s="7"/>
      <c r="I64" s="7"/>
      <c r="J64" s="62"/>
      <c r="K64" s="43"/>
      <c r="L64" s="7"/>
      <c r="M64" s="7"/>
      <c r="N64" s="32"/>
      <c r="O64" s="131"/>
      <c r="P64" s="7"/>
      <c r="Q64" s="131">
        <v>10200</v>
      </c>
      <c r="R64" s="62"/>
      <c r="S64" s="31"/>
      <c r="T64" s="6"/>
      <c r="U64" s="6"/>
      <c r="V64" s="6">
        <v>97750</v>
      </c>
      <c r="W64" s="6">
        <v>10200</v>
      </c>
      <c r="X64" s="24">
        <v>52250</v>
      </c>
      <c r="Y64" s="159"/>
      <c r="Z64" s="6">
        <v>139500</v>
      </c>
      <c r="AA64" s="24">
        <v>145000</v>
      </c>
      <c r="AB64" s="159"/>
      <c r="AC64" s="6"/>
      <c r="AD64" s="6">
        <v>40000</v>
      </c>
      <c r="AE64" s="23"/>
      <c r="AF64" s="6"/>
      <c r="AG64" s="6"/>
      <c r="AH64" s="101">
        <f t="shared" si="1"/>
        <v>0</v>
      </c>
    </row>
    <row r="65" spans="1:34" x14ac:dyDescent="0.2">
      <c r="A65" s="226" t="s">
        <v>24</v>
      </c>
      <c r="B65" s="31"/>
      <c r="C65" s="31"/>
      <c r="D65" s="31"/>
      <c r="E65" s="216"/>
      <c r="F65" s="31"/>
      <c r="G65" s="7"/>
      <c r="H65" s="7">
        <v>15864.43</v>
      </c>
      <c r="I65" s="7"/>
      <c r="J65" s="62"/>
      <c r="K65" s="43"/>
      <c r="L65" s="7">
        <v>82731</v>
      </c>
      <c r="M65" s="45">
        <v>37794</v>
      </c>
      <c r="N65" s="46">
        <v>37794</v>
      </c>
      <c r="O65" s="227">
        <v>46900</v>
      </c>
      <c r="P65" s="7">
        <v>19761</v>
      </c>
      <c r="Q65" s="131"/>
      <c r="R65" s="62"/>
      <c r="S65" s="31"/>
      <c r="T65" s="6"/>
      <c r="U65" s="6"/>
      <c r="V65" s="6"/>
      <c r="W65" s="6"/>
      <c r="X65" s="24"/>
      <c r="Y65" s="159"/>
      <c r="Z65" s="6"/>
      <c r="AA65" s="24"/>
      <c r="AB65" s="159"/>
      <c r="AC65" s="6"/>
      <c r="AD65" s="6"/>
      <c r="AE65" s="23"/>
      <c r="AF65" s="6"/>
      <c r="AG65" s="6"/>
      <c r="AH65" s="101">
        <f t="shared" si="1"/>
        <v>0</v>
      </c>
    </row>
    <row r="66" spans="1:34" ht="25.5" x14ac:dyDescent="0.2">
      <c r="A66" s="18" t="s">
        <v>23</v>
      </c>
      <c r="B66" s="31"/>
      <c r="C66" s="31"/>
      <c r="D66" s="31"/>
      <c r="E66" s="216"/>
      <c r="F66" s="31">
        <v>38.97</v>
      </c>
      <c r="G66" s="7"/>
      <c r="H66" s="7">
        <v>52961.03</v>
      </c>
      <c r="I66" s="7">
        <v>0</v>
      </c>
      <c r="J66" s="62">
        <v>0</v>
      </c>
      <c r="K66" s="43"/>
      <c r="L66" s="7">
        <v>130000</v>
      </c>
      <c r="M66" s="7">
        <v>65000</v>
      </c>
      <c r="N66" s="32">
        <v>65000</v>
      </c>
      <c r="O66" s="131"/>
      <c r="P66" s="7">
        <v>112039</v>
      </c>
      <c r="Q66" s="131"/>
      <c r="R66" s="62"/>
      <c r="S66" s="31"/>
      <c r="T66" s="6"/>
      <c r="U66" s="6"/>
      <c r="V66" s="6"/>
      <c r="W66" s="6"/>
      <c r="X66" s="24"/>
      <c r="Y66" s="159"/>
      <c r="Z66" s="6"/>
      <c r="AA66" s="24"/>
      <c r="AB66" s="159"/>
      <c r="AC66" s="6"/>
      <c r="AD66" s="6"/>
      <c r="AE66" s="23"/>
      <c r="AF66" s="6"/>
      <c r="AG66" s="6"/>
      <c r="AH66" s="101">
        <f t="shared" si="1"/>
        <v>0</v>
      </c>
    </row>
    <row r="67" spans="1:34" ht="25.5" x14ac:dyDescent="0.2">
      <c r="A67" s="18" t="s">
        <v>160</v>
      </c>
      <c r="B67" s="31"/>
      <c r="C67" s="31"/>
      <c r="D67" s="31"/>
      <c r="E67" s="216"/>
      <c r="F67" s="31"/>
      <c r="G67" s="7"/>
      <c r="H67" s="7">
        <v>7800</v>
      </c>
      <c r="I67" s="7"/>
      <c r="J67" s="62"/>
      <c r="K67" s="43"/>
      <c r="L67" s="7">
        <v>5700</v>
      </c>
      <c r="M67" s="7"/>
      <c r="N67" s="32"/>
      <c r="O67" s="131"/>
      <c r="P67" s="7"/>
      <c r="Q67" s="131"/>
      <c r="R67" s="62"/>
      <c r="S67" s="31"/>
      <c r="T67" s="6"/>
      <c r="U67" s="6"/>
      <c r="V67" s="6"/>
      <c r="W67" s="6"/>
      <c r="X67" s="24"/>
      <c r="Y67" s="159"/>
      <c r="Z67" s="6"/>
      <c r="AA67" s="24"/>
      <c r="AB67" s="159"/>
      <c r="AC67" s="6"/>
      <c r="AD67" s="6"/>
      <c r="AE67" s="23"/>
      <c r="AF67" s="6"/>
      <c r="AG67" s="6"/>
      <c r="AH67" s="101">
        <f t="shared" si="1"/>
        <v>0</v>
      </c>
    </row>
    <row r="68" spans="1:34" s="8" customFormat="1" x14ac:dyDescent="0.2">
      <c r="A68" s="17" t="s">
        <v>30</v>
      </c>
      <c r="B68" s="25">
        <f t="shared" ref="B68:AA68" si="6">SUM(B55:B67)</f>
        <v>0</v>
      </c>
      <c r="C68" s="25">
        <f t="shared" si="6"/>
        <v>0</v>
      </c>
      <c r="D68" s="25">
        <f t="shared" si="6"/>
        <v>27131.74</v>
      </c>
      <c r="E68" s="142">
        <f t="shared" si="6"/>
        <v>0</v>
      </c>
      <c r="F68" s="199">
        <f t="shared" si="6"/>
        <v>38.97</v>
      </c>
      <c r="G68" s="191">
        <f t="shared" si="6"/>
        <v>576.05999999999995</v>
      </c>
      <c r="H68" s="191">
        <f t="shared" si="6"/>
        <v>139621.72999999998</v>
      </c>
      <c r="I68" s="191">
        <f t="shared" si="6"/>
        <v>59021.11</v>
      </c>
      <c r="J68" s="218">
        <f t="shared" si="6"/>
        <v>576.05999999999995</v>
      </c>
      <c r="K68" s="199">
        <f t="shared" si="6"/>
        <v>0</v>
      </c>
      <c r="L68" s="191">
        <f t="shared" si="6"/>
        <v>315150</v>
      </c>
      <c r="M68" s="191">
        <f t="shared" si="6"/>
        <v>160751</v>
      </c>
      <c r="N68" s="200">
        <f t="shared" si="6"/>
        <v>161231</v>
      </c>
      <c r="O68" s="200">
        <f t="shared" si="6"/>
        <v>46900</v>
      </c>
      <c r="P68" s="191">
        <f t="shared" si="6"/>
        <v>230705</v>
      </c>
      <c r="Q68" s="161">
        <f t="shared" si="6"/>
        <v>32822</v>
      </c>
      <c r="R68" s="142">
        <f t="shared" si="6"/>
        <v>108296</v>
      </c>
      <c r="S68" s="199">
        <f t="shared" si="6"/>
        <v>0</v>
      </c>
      <c r="T68" s="191">
        <f t="shared" si="6"/>
        <v>0</v>
      </c>
      <c r="U68" s="191">
        <f t="shared" si="6"/>
        <v>0</v>
      </c>
      <c r="V68" s="191">
        <f t="shared" si="6"/>
        <v>97750</v>
      </c>
      <c r="W68" s="191">
        <f t="shared" si="6"/>
        <v>10200</v>
      </c>
      <c r="X68" s="200">
        <f t="shared" si="6"/>
        <v>52250</v>
      </c>
      <c r="Y68" s="205"/>
      <c r="Z68" s="191">
        <f t="shared" si="6"/>
        <v>139500</v>
      </c>
      <c r="AA68" s="200">
        <f t="shared" si="6"/>
        <v>145000</v>
      </c>
      <c r="AB68" s="161">
        <f t="shared" ref="AB68:AG68" si="7">SUM(AB55:AB67)</f>
        <v>0</v>
      </c>
      <c r="AC68" s="25">
        <f t="shared" si="7"/>
        <v>0</v>
      </c>
      <c r="AD68" s="25">
        <f t="shared" si="7"/>
        <v>40000</v>
      </c>
      <c r="AE68" s="25">
        <f t="shared" si="7"/>
        <v>0</v>
      </c>
      <c r="AF68" s="25">
        <f t="shared" si="7"/>
        <v>0</v>
      </c>
      <c r="AG68" s="25">
        <f t="shared" si="7"/>
        <v>0</v>
      </c>
      <c r="AH68" s="101">
        <f t="shared" si="1"/>
        <v>-577.21000000002095</v>
      </c>
    </row>
    <row r="69" spans="1:34" s="37" customFormat="1" x14ac:dyDescent="0.2">
      <c r="A69" s="128" t="s">
        <v>102</v>
      </c>
      <c r="B69" s="43"/>
      <c r="C69" s="43"/>
      <c r="D69" s="43"/>
      <c r="E69" s="213"/>
      <c r="F69" s="43"/>
      <c r="G69" s="45"/>
      <c r="H69" s="45"/>
      <c r="I69" s="45"/>
      <c r="J69" s="58"/>
      <c r="K69" s="43"/>
      <c r="L69" s="45"/>
      <c r="M69" s="45">
        <v>0</v>
      </c>
      <c r="N69" s="46"/>
      <c r="O69" s="55"/>
      <c r="P69" s="45"/>
      <c r="Q69" s="55">
        <v>17000</v>
      </c>
      <c r="R69" s="58">
        <v>17000</v>
      </c>
      <c r="S69" s="43"/>
      <c r="T69" s="45"/>
      <c r="U69" s="45"/>
      <c r="V69" s="45"/>
      <c r="W69" s="45"/>
      <c r="X69" s="46"/>
      <c r="Y69" s="146"/>
      <c r="Z69" s="45"/>
      <c r="AA69" s="46"/>
      <c r="AB69" s="146"/>
      <c r="AC69" s="45"/>
      <c r="AD69" s="45"/>
      <c r="AE69" s="43"/>
      <c r="AF69" s="45"/>
      <c r="AG69" s="45"/>
      <c r="AH69" s="101">
        <f t="shared" si="1"/>
        <v>0</v>
      </c>
    </row>
    <row r="70" spans="1:34" s="37" customFormat="1" x14ac:dyDescent="0.2">
      <c r="A70" s="128" t="s">
        <v>194</v>
      </c>
      <c r="B70" s="43"/>
      <c r="C70" s="43">
        <v>569</v>
      </c>
      <c r="D70" s="43"/>
      <c r="E70" s="213"/>
      <c r="F70" s="43"/>
      <c r="G70" s="45"/>
      <c r="H70" s="45"/>
      <c r="I70" s="45"/>
      <c r="J70" s="58"/>
      <c r="K70" s="43"/>
      <c r="L70" s="45"/>
      <c r="M70" s="45"/>
      <c r="N70" s="46"/>
      <c r="O70" s="55"/>
      <c r="P70" s="45"/>
      <c r="Q70" s="55"/>
      <c r="R70" s="58"/>
      <c r="S70" s="43"/>
      <c r="T70" s="45"/>
      <c r="U70" s="45"/>
      <c r="V70" s="45"/>
      <c r="W70" s="45"/>
      <c r="X70" s="46"/>
      <c r="Y70" s="146"/>
      <c r="Z70" s="45"/>
      <c r="AA70" s="46"/>
      <c r="AB70" s="146"/>
      <c r="AC70" s="45"/>
      <c r="AD70" s="45"/>
      <c r="AE70" s="43"/>
      <c r="AF70" s="45"/>
      <c r="AG70" s="45"/>
      <c r="AH70" s="229">
        <f t="shared" si="1"/>
        <v>569</v>
      </c>
    </row>
    <row r="71" spans="1:34" s="37" customFormat="1" x14ac:dyDescent="0.2">
      <c r="A71" s="128" t="s">
        <v>103</v>
      </c>
      <c r="B71" s="43"/>
      <c r="C71" s="43"/>
      <c r="D71" s="43">
        <v>1730.77</v>
      </c>
      <c r="E71" s="213"/>
      <c r="F71" s="43"/>
      <c r="G71" s="45"/>
      <c r="H71" s="45"/>
      <c r="I71" s="45">
        <v>1000</v>
      </c>
      <c r="J71" s="58"/>
      <c r="K71" s="43"/>
      <c r="L71" s="45"/>
      <c r="M71" s="45">
        <v>3800</v>
      </c>
      <c r="N71" s="46">
        <v>6531</v>
      </c>
      <c r="O71" s="55"/>
      <c r="P71" s="45"/>
      <c r="Q71" s="55"/>
      <c r="R71" s="58"/>
      <c r="S71" s="43"/>
      <c r="T71" s="45"/>
      <c r="U71" s="45"/>
      <c r="V71" s="45"/>
      <c r="W71" s="45"/>
      <c r="X71" s="46"/>
      <c r="Y71" s="146"/>
      <c r="Z71" s="45"/>
      <c r="AA71" s="46"/>
      <c r="AB71" s="146"/>
      <c r="AC71" s="45"/>
      <c r="AD71" s="45"/>
      <c r="AE71" s="43"/>
      <c r="AF71" s="45"/>
      <c r="AG71" s="45"/>
      <c r="AH71" s="101">
        <f t="shared" si="1"/>
        <v>-0.22999999999956344</v>
      </c>
    </row>
    <row r="72" spans="1:34" s="37" customFormat="1" x14ac:dyDescent="0.2">
      <c r="A72" s="128" t="s">
        <v>104</v>
      </c>
      <c r="B72" s="43"/>
      <c r="C72" s="43"/>
      <c r="D72" s="43">
        <v>2331.21</v>
      </c>
      <c r="E72" s="213"/>
      <c r="F72" s="43"/>
      <c r="G72" s="45"/>
      <c r="H72" s="45"/>
      <c r="I72" s="45">
        <v>17968.79</v>
      </c>
      <c r="J72" s="58"/>
      <c r="K72" s="43"/>
      <c r="L72" s="45"/>
      <c r="M72" s="45">
        <v>7000</v>
      </c>
      <c r="N72" s="46"/>
      <c r="O72" s="55"/>
      <c r="P72" s="45"/>
      <c r="Q72" s="55"/>
      <c r="R72" s="58">
        <v>27300</v>
      </c>
      <c r="S72" s="43"/>
      <c r="T72" s="45"/>
      <c r="U72" s="45"/>
      <c r="V72" s="45"/>
      <c r="W72" s="45"/>
      <c r="X72" s="46"/>
      <c r="Y72" s="146"/>
      <c r="Z72" s="45"/>
      <c r="AA72" s="46"/>
      <c r="AB72" s="146"/>
      <c r="AC72" s="45"/>
      <c r="AD72" s="45"/>
      <c r="AE72" s="43"/>
      <c r="AF72" s="45"/>
      <c r="AG72" s="45"/>
      <c r="AH72" s="101">
        <f t="shared" si="1"/>
        <v>0</v>
      </c>
    </row>
    <row r="73" spans="1:34" s="37" customFormat="1" x14ac:dyDescent="0.2">
      <c r="A73" s="128" t="s">
        <v>105</v>
      </c>
      <c r="B73" s="43"/>
      <c r="C73" s="43"/>
      <c r="D73" s="43">
        <v>3264.72</v>
      </c>
      <c r="E73" s="213"/>
      <c r="F73" s="43"/>
      <c r="G73" s="45"/>
      <c r="H73" s="45"/>
      <c r="I73" s="45">
        <v>4344.17</v>
      </c>
      <c r="J73" s="58">
        <v>7608.89</v>
      </c>
      <c r="K73" s="43"/>
      <c r="L73" s="45"/>
      <c r="M73" s="45"/>
      <c r="N73" s="46"/>
      <c r="O73" s="55"/>
      <c r="P73" s="45"/>
      <c r="Q73" s="55"/>
      <c r="R73" s="58"/>
      <c r="S73" s="43"/>
      <c r="T73" s="45"/>
      <c r="U73" s="45"/>
      <c r="V73" s="45"/>
      <c r="W73" s="45"/>
      <c r="X73" s="46"/>
      <c r="Y73" s="146"/>
      <c r="Z73" s="45"/>
      <c r="AA73" s="46"/>
      <c r="AB73" s="146"/>
      <c r="AC73" s="45"/>
      <c r="AD73" s="45"/>
      <c r="AE73" s="43"/>
      <c r="AF73" s="45"/>
      <c r="AG73" s="45"/>
      <c r="AH73" s="101">
        <f t="shared" si="1"/>
        <v>-9.0949470177292824E-13</v>
      </c>
    </row>
    <row r="74" spans="1:34" s="37" customFormat="1" ht="25.5" x14ac:dyDescent="0.2">
      <c r="A74" s="128" t="s">
        <v>106</v>
      </c>
      <c r="B74" s="43"/>
      <c r="C74" s="43"/>
      <c r="D74" s="43">
        <v>1152.77</v>
      </c>
      <c r="E74" s="213"/>
      <c r="F74" s="43"/>
      <c r="G74" s="45"/>
      <c r="H74" s="45"/>
      <c r="I74" s="45">
        <v>5639.32</v>
      </c>
      <c r="J74" s="58">
        <v>6792.08</v>
      </c>
      <c r="K74" s="43"/>
      <c r="L74" s="45"/>
      <c r="M74" s="45"/>
      <c r="N74" s="46"/>
      <c r="O74" s="55"/>
      <c r="P74" s="45"/>
      <c r="Q74" s="55"/>
      <c r="R74" s="58"/>
      <c r="S74" s="43"/>
      <c r="T74" s="45"/>
      <c r="U74" s="45"/>
      <c r="V74" s="45"/>
      <c r="W74" s="45"/>
      <c r="X74" s="46"/>
      <c r="Y74" s="146"/>
      <c r="Z74" s="45"/>
      <c r="AA74" s="46"/>
      <c r="AB74" s="146"/>
      <c r="AC74" s="45"/>
      <c r="AD74" s="45"/>
      <c r="AE74" s="43"/>
      <c r="AF74" s="45"/>
      <c r="AG74" s="45"/>
      <c r="AH74" s="101">
        <f t="shared" si="1"/>
        <v>1.0000000000218279E-2</v>
      </c>
    </row>
    <row r="75" spans="1:34" s="37" customFormat="1" x14ac:dyDescent="0.2">
      <c r="A75" s="128" t="s">
        <v>107</v>
      </c>
      <c r="B75" s="43"/>
      <c r="C75" s="43"/>
      <c r="D75" s="43"/>
      <c r="E75" s="213"/>
      <c r="F75" s="43"/>
      <c r="G75" s="45"/>
      <c r="H75" s="45">
        <v>0</v>
      </c>
      <c r="I75" s="45">
        <v>0</v>
      </c>
      <c r="J75" s="58"/>
      <c r="K75" s="43"/>
      <c r="L75" s="45"/>
      <c r="M75" s="45">
        <v>2500</v>
      </c>
      <c r="N75" s="46"/>
      <c r="O75" s="55"/>
      <c r="P75" s="45"/>
      <c r="Q75" s="55">
        <v>15930</v>
      </c>
      <c r="R75" s="58">
        <v>18430</v>
      </c>
      <c r="S75" s="43"/>
      <c r="T75" s="45"/>
      <c r="U75" s="45"/>
      <c r="V75" s="45"/>
      <c r="W75" s="45"/>
      <c r="X75" s="46"/>
      <c r="Y75" s="146"/>
      <c r="Z75" s="45"/>
      <c r="AA75" s="46"/>
      <c r="AB75" s="146"/>
      <c r="AC75" s="45"/>
      <c r="AD75" s="45"/>
      <c r="AE75" s="43"/>
      <c r="AF75" s="45"/>
      <c r="AG75" s="45"/>
      <c r="AH75" s="101">
        <f t="shared" si="1"/>
        <v>0</v>
      </c>
    </row>
    <row r="76" spans="1:34" s="37" customFormat="1" x14ac:dyDescent="0.2">
      <c r="A76" s="122" t="s">
        <v>108</v>
      </c>
      <c r="B76" s="43"/>
      <c r="C76" s="43"/>
      <c r="D76" s="43"/>
      <c r="E76" s="213"/>
      <c r="F76" s="43"/>
      <c r="G76" s="44"/>
      <c r="H76" s="45">
        <v>0</v>
      </c>
      <c r="I76" s="45">
        <v>0</v>
      </c>
      <c r="J76" s="58"/>
      <c r="K76" s="43"/>
      <c r="L76" s="45"/>
      <c r="M76" s="45">
        <v>0</v>
      </c>
      <c r="N76" s="46"/>
      <c r="O76" s="55"/>
      <c r="P76" s="45"/>
      <c r="Q76" s="124"/>
      <c r="R76" s="58">
        <v>0</v>
      </c>
      <c r="S76" s="43"/>
      <c r="T76" s="45"/>
      <c r="U76" s="120"/>
      <c r="V76" s="120"/>
      <c r="W76" s="120"/>
      <c r="X76" s="121"/>
      <c r="Y76" s="162"/>
      <c r="Z76" s="120"/>
      <c r="AA76" s="121"/>
      <c r="AB76" s="162"/>
      <c r="AC76" s="120"/>
      <c r="AD76" s="120"/>
      <c r="AE76" s="152"/>
      <c r="AF76" s="120"/>
      <c r="AG76" s="120"/>
      <c r="AH76" s="101">
        <f t="shared" si="1"/>
        <v>0</v>
      </c>
    </row>
    <row r="77" spans="1:34" s="37" customFormat="1" ht="25.5" x14ac:dyDescent="0.2">
      <c r="A77" s="128" t="s">
        <v>77</v>
      </c>
      <c r="B77" s="43"/>
      <c r="C77" s="43">
        <v>15545.257169999999</v>
      </c>
      <c r="D77" s="43"/>
      <c r="E77" s="213">
        <v>15545.26</v>
      </c>
      <c r="F77" s="43"/>
      <c r="G77" s="44"/>
      <c r="H77" s="45"/>
      <c r="I77" s="45"/>
      <c r="J77" s="58"/>
      <c r="K77" s="43"/>
      <c r="L77" s="45"/>
      <c r="M77" s="45"/>
      <c r="N77" s="46"/>
      <c r="O77" s="55"/>
      <c r="P77" s="45"/>
      <c r="Q77" s="55"/>
      <c r="R77" s="58"/>
      <c r="S77" s="43"/>
      <c r="T77" s="45"/>
      <c r="U77" s="45"/>
      <c r="V77" s="45"/>
      <c r="W77" s="45"/>
      <c r="X77" s="46"/>
      <c r="Y77" s="146"/>
      <c r="Z77" s="45"/>
      <c r="AA77" s="46"/>
      <c r="AB77" s="146"/>
      <c r="AC77" s="45"/>
      <c r="AD77" s="45"/>
      <c r="AE77" s="43"/>
      <c r="AF77" s="45"/>
      <c r="AG77" s="45"/>
      <c r="AH77" s="101">
        <f t="shared" si="1"/>
        <v>-2.8300000012677629E-3</v>
      </c>
    </row>
    <row r="78" spans="1:34" s="37" customFormat="1" ht="25.5" x14ac:dyDescent="0.2">
      <c r="A78" s="128" t="s">
        <v>79</v>
      </c>
      <c r="B78" s="43"/>
      <c r="C78" s="43">
        <v>10290.78996</v>
      </c>
      <c r="D78" s="43">
        <v>1156.56</v>
      </c>
      <c r="E78" s="213">
        <v>11447.35</v>
      </c>
      <c r="F78" s="43"/>
      <c r="G78" s="44"/>
      <c r="H78" s="45"/>
      <c r="I78" s="45"/>
      <c r="J78" s="58"/>
      <c r="K78" s="43"/>
      <c r="L78" s="45"/>
      <c r="M78" s="45"/>
      <c r="N78" s="46"/>
      <c r="O78" s="55"/>
      <c r="P78" s="45"/>
      <c r="Q78" s="55"/>
      <c r="R78" s="58"/>
      <c r="S78" s="43"/>
      <c r="T78" s="45"/>
      <c r="U78" s="45"/>
      <c r="V78" s="45"/>
      <c r="W78" s="45"/>
      <c r="X78" s="46"/>
      <c r="Y78" s="146"/>
      <c r="Z78" s="45"/>
      <c r="AA78" s="46"/>
      <c r="AB78" s="146"/>
      <c r="AC78" s="45"/>
      <c r="AD78" s="45"/>
      <c r="AE78" s="43"/>
      <c r="AF78" s="45"/>
      <c r="AG78" s="45"/>
      <c r="AH78" s="101">
        <f t="shared" si="1"/>
        <v>-4.000000080850441E-5</v>
      </c>
    </row>
    <row r="79" spans="1:34" s="37" customFormat="1" x14ac:dyDescent="0.2">
      <c r="A79" s="128" t="s">
        <v>78</v>
      </c>
      <c r="B79" s="43"/>
      <c r="C79" s="43"/>
      <c r="D79" s="43"/>
      <c r="E79" s="213"/>
      <c r="F79" s="43"/>
      <c r="G79" s="44">
        <v>359.74</v>
      </c>
      <c r="H79" s="45"/>
      <c r="I79" s="45"/>
      <c r="J79" s="44">
        <v>359.74</v>
      </c>
      <c r="K79" s="43"/>
      <c r="L79" s="45"/>
      <c r="M79" s="45"/>
      <c r="N79" s="46"/>
      <c r="O79" s="55"/>
      <c r="P79" s="45"/>
      <c r="Q79" s="55"/>
      <c r="R79" s="58"/>
      <c r="S79" s="43"/>
      <c r="T79" s="45"/>
      <c r="U79" s="45"/>
      <c r="V79" s="45"/>
      <c r="W79" s="45"/>
      <c r="X79" s="46"/>
      <c r="Y79" s="146"/>
      <c r="Z79" s="45"/>
      <c r="AA79" s="46"/>
      <c r="AB79" s="146"/>
      <c r="AC79" s="45"/>
      <c r="AD79" s="45"/>
      <c r="AE79" s="43"/>
      <c r="AF79" s="45"/>
      <c r="AG79" s="45"/>
      <c r="AH79" s="101">
        <f>C79+D79+I79+M79+Q79+U79-E79-J79-N79-R79-W79</f>
        <v>-359.74</v>
      </c>
    </row>
    <row r="80" spans="1:34" s="37" customFormat="1" x14ac:dyDescent="0.2">
      <c r="A80" s="128" t="s">
        <v>80</v>
      </c>
      <c r="B80" s="43"/>
      <c r="C80" s="43"/>
      <c r="D80" s="43">
        <v>2148.46</v>
      </c>
      <c r="E80" s="213"/>
      <c r="F80" s="43"/>
      <c r="G80" s="44"/>
      <c r="H80" s="45"/>
      <c r="I80" s="45">
        <f>5292+3701.2</f>
        <v>8993.2000000000007</v>
      </c>
      <c r="J80" s="58"/>
      <c r="K80" s="43"/>
      <c r="L80" s="45"/>
      <c r="M80" s="45"/>
      <c r="N80" s="46">
        <v>11142</v>
      </c>
      <c r="O80" s="55"/>
      <c r="P80" s="45"/>
      <c r="Q80" s="55"/>
      <c r="R80" s="58"/>
      <c r="S80" s="43"/>
      <c r="T80" s="45"/>
      <c r="U80" s="45"/>
      <c r="V80" s="45"/>
      <c r="W80" s="45"/>
      <c r="X80" s="46"/>
      <c r="Y80" s="146"/>
      <c r="Z80" s="45"/>
      <c r="AA80" s="46"/>
      <c r="AB80" s="146"/>
      <c r="AC80" s="45"/>
      <c r="AD80" s="45"/>
      <c r="AE80" s="43"/>
      <c r="AF80" s="45"/>
      <c r="AG80" s="45"/>
      <c r="AH80" s="101">
        <f t="shared" si="1"/>
        <v>-0.34000000000014552</v>
      </c>
    </row>
    <row r="81" spans="1:34" s="37" customFormat="1" ht="25.5" x14ac:dyDescent="0.2">
      <c r="A81" s="128" t="s">
        <v>81</v>
      </c>
      <c r="B81" s="43"/>
      <c r="C81" s="43"/>
      <c r="D81" s="43"/>
      <c r="E81" s="213"/>
      <c r="F81" s="43"/>
      <c r="G81" s="44"/>
      <c r="H81" s="45"/>
      <c r="I81" s="45"/>
      <c r="J81" s="58"/>
      <c r="K81" s="43"/>
      <c r="L81" s="45"/>
      <c r="M81" s="45">
        <v>3473</v>
      </c>
      <c r="N81" s="46"/>
      <c r="O81" s="55"/>
      <c r="P81" s="45"/>
      <c r="Q81" s="55"/>
      <c r="R81" s="58">
        <v>3473</v>
      </c>
      <c r="S81" s="43"/>
      <c r="T81" s="45"/>
      <c r="U81" s="45"/>
      <c r="V81" s="45"/>
      <c r="W81" s="45"/>
      <c r="X81" s="46"/>
      <c r="Y81" s="146"/>
      <c r="Z81" s="45"/>
      <c r="AA81" s="46"/>
      <c r="AB81" s="146"/>
      <c r="AC81" s="45"/>
      <c r="AD81" s="45"/>
      <c r="AE81" s="43"/>
      <c r="AF81" s="45"/>
      <c r="AG81" s="45"/>
      <c r="AH81" s="101">
        <f t="shared" si="1"/>
        <v>0</v>
      </c>
    </row>
    <row r="82" spans="1:34" s="37" customFormat="1" x14ac:dyDescent="0.2">
      <c r="A82" s="128" t="s">
        <v>82</v>
      </c>
      <c r="B82" s="43"/>
      <c r="C82" s="43"/>
      <c r="D82" s="43"/>
      <c r="E82" s="213"/>
      <c r="F82" s="43"/>
      <c r="G82" s="44"/>
      <c r="H82" s="45"/>
      <c r="I82" s="45"/>
      <c r="J82" s="58"/>
      <c r="K82" s="43"/>
      <c r="L82" s="45"/>
      <c r="M82" s="45">
        <v>4096</v>
      </c>
      <c r="N82" s="46"/>
      <c r="O82" s="55"/>
      <c r="P82" s="45"/>
      <c r="Q82" s="55"/>
      <c r="R82" s="58">
        <v>4096</v>
      </c>
      <c r="S82" s="43"/>
      <c r="T82" s="45"/>
      <c r="U82" s="45"/>
      <c r="V82" s="45"/>
      <c r="W82" s="45"/>
      <c r="X82" s="46"/>
      <c r="Y82" s="146"/>
      <c r="Z82" s="45"/>
      <c r="AA82" s="46"/>
      <c r="AB82" s="146"/>
      <c r="AC82" s="45"/>
      <c r="AD82" s="45"/>
      <c r="AE82" s="43"/>
      <c r="AF82" s="45"/>
      <c r="AG82" s="45"/>
      <c r="AH82" s="101">
        <f t="shared" si="1"/>
        <v>0</v>
      </c>
    </row>
    <row r="83" spans="1:34" s="37" customFormat="1" x14ac:dyDescent="0.2">
      <c r="A83" s="128" t="s">
        <v>83</v>
      </c>
      <c r="B83" s="43"/>
      <c r="C83" s="43"/>
      <c r="D83" s="43"/>
      <c r="E83" s="213"/>
      <c r="F83" s="43"/>
      <c r="G83" s="44"/>
      <c r="H83" s="45"/>
      <c r="I83" s="45"/>
      <c r="J83" s="58"/>
      <c r="K83" s="43"/>
      <c r="L83" s="45"/>
      <c r="M83" s="45">
        <v>3819</v>
      </c>
      <c r="N83" s="46"/>
      <c r="O83" s="55"/>
      <c r="P83" s="45"/>
      <c r="Q83" s="55"/>
      <c r="R83" s="58">
        <v>3819</v>
      </c>
      <c r="S83" s="43"/>
      <c r="T83" s="45"/>
      <c r="U83" s="45"/>
      <c r="V83" s="45"/>
      <c r="W83" s="45"/>
      <c r="X83" s="46"/>
      <c r="Y83" s="146"/>
      <c r="Z83" s="45"/>
      <c r="AA83" s="46"/>
      <c r="AB83" s="146"/>
      <c r="AC83" s="45"/>
      <c r="AD83" s="45"/>
      <c r="AE83" s="43"/>
      <c r="AF83" s="45"/>
      <c r="AG83" s="45"/>
      <c r="AH83" s="101">
        <f t="shared" si="1"/>
        <v>0</v>
      </c>
    </row>
    <row r="84" spans="1:34" s="37" customFormat="1" x14ac:dyDescent="0.2">
      <c r="A84" s="128" t="s">
        <v>84</v>
      </c>
      <c r="B84" s="43"/>
      <c r="C84" s="43"/>
      <c r="D84" s="43"/>
      <c r="E84" s="213"/>
      <c r="F84" s="43"/>
      <c r="G84" s="44"/>
      <c r="H84" s="45"/>
      <c r="I84" s="45"/>
      <c r="J84" s="58"/>
      <c r="K84" s="43"/>
      <c r="L84" s="45"/>
      <c r="M84" s="45">
        <v>7264</v>
      </c>
      <c r="N84" s="46"/>
      <c r="O84" s="55"/>
      <c r="P84" s="45"/>
      <c r="Q84" s="55"/>
      <c r="R84" s="58">
        <v>7264</v>
      </c>
      <c r="S84" s="43"/>
      <c r="T84" s="45"/>
      <c r="U84" s="45"/>
      <c r="V84" s="45"/>
      <c r="W84" s="45"/>
      <c r="X84" s="46"/>
      <c r="Y84" s="146"/>
      <c r="Z84" s="45"/>
      <c r="AA84" s="46"/>
      <c r="AB84" s="146"/>
      <c r="AC84" s="45"/>
      <c r="AD84" s="45"/>
      <c r="AE84" s="43"/>
      <c r="AF84" s="45"/>
      <c r="AG84" s="45"/>
      <c r="AH84" s="101">
        <f t="shared" si="1"/>
        <v>0</v>
      </c>
    </row>
    <row r="85" spans="1:34" s="37" customFormat="1" x14ac:dyDescent="0.2">
      <c r="A85" s="128" t="s">
        <v>86</v>
      </c>
      <c r="B85" s="43"/>
      <c r="C85" s="43"/>
      <c r="D85" s="43"/>
      <c r="E85" s="213"/>
      <c r="F85" s="43"/>
      <c r="G85" s="44"/>
      <c r="H85" s="45"/>
      <c r="I85" s="45"/>
      <c r="J85" s="58"/>
      <c r="K85" s="43"/>
      <c r="L85" s="45"/>
      <c r="M85" s="45">
        <v>1561</v>
      </c>
      <c r="N85" s="46"/>
      <c r="O85" s="55"/>
      <c r="P85" s="45"/>
      <c r="Q85" s="55"/>
      <c r="R85" s="58">
        <v>1561</v>
      </c>
      <c r="S85" s="43"/>
      <c r="T85" s="45"/>
      <c r="U85" s="45"/>
      <c r="V85" s="45"/>
      <c r="W85" s="45"/>
      <c r="X85" s="46"/>
      <c r="Y85" s="146"/>
      <c r="Z85" s="45"/>
      <c r="AA85" s="46"/>
      <c r="AB85" s="146"/>
      <c r="AC85" s="45"/>
      <c r="AD85" s="45"/>
      <c r="AE85" s="43"/>
      <c r="AF85" s="45"/>
      <c r="AG85" s="45"/>
      <c r="AH85" s="101">
        <f t="shared" si="1"/>
        <v>0</v>
      </c>
    </row>
    <row r="86" spans="1:34" s="37" customFormat="1" x14ac:dyDescent="0.2">
      <c r="A86" s="128" t="s">
        <v>85</v>
      </c>
      <c r="B86" s="43"/>
      <c r="C86" s="43"/>
      <c r="D86" s="43"/>
      <c r="E86" s="213"/>
      <c r="F86" s="43"/>
      <c r="G86" s="44"/>
      <c r="H86" s="45"/>
      <c r="I86" s="45"/>
      <c r="J86" s="58"/>
      <c r="K86" s="43"/>
      <c r="L86" s="45">
        <v>26810</v>
      </c>
      <c r="M86" s="45">
        <v>12270</v>
      </c>
      <c r="N86" s="46"/>
      <c r="O86" s="55"/>
      <c r="P86" s="45"/>
      <c r="Q86" s="55"/>
      <c r="R86" s="58">
        <v>12270</v>
      </c>
      <c r="S86" s="43"/>
      <c r="T86" s="45"/>
      <c r="U86" s="45"/>
      <c r="V86" s="45"/>
      <c r="W86" s="45"/>
      <c r="X86" s="46"/>
      <c r="Y86" s="146"/>
      <c r="Z86" s="45"/>
      <c r="AA86" s="46"/>
      <c r="AB86" s="146"/>
      <c r="AC86" s="45"/>
      <c r="AD86" s="45"/>
      <c r="AE86" s="43"/>
      <c r="AF86" s="45"/>
      <c r="AG86" s="45"/>
      <c r="AH86" s="101">
        <f>C86+D86+I86+M86+Q86+U86-E86-J86-N86-R86-W86</f>
        <v>0</v>
      </c>
    </row>
    <row r="87" spans="1:34" s="37" customFormat="1" x14ac:dyDescent="0.2">
      <c r="A87" s="128" t="s">
        <v>87</v>
      </c>
      <c r="B87" s="43"/>
      <c r="C87" s="43"/>
      <c r="D87" s="43"/>
      <c r="E87" s="213"/>
      <c r="F87" s="43"/>
      <c r="G87" s="44"/>
      <c r="H87" s="45"/>
      <c r="I87" s="45"/>
      <c r="J87" s="58"/>
      <c r="K87" s="43"/>
      <c r="L87" s="45">
        <v>19097</v>
      </c>
      <c r="M87" s="45">
        <v>7683</v>
      </c>
      <c r="N87" s="46"/>
      <c r="O87" s="55"/>
      <c r="P87" s="45"/>
      <c r="Q87" s="55"/>
      <c r="R87" s="58">
        <v>7683</v>
      </c>
      <c r="S87" s="43"/>
      <c r="T87" s="45"/>
      <c r="U87" s="45"/>
      <c r="V87" s="45"/>
      <c r="W87" s="45"/>
      <c r="X87" s="46"/>
      <c r="Y87" s="146"/>
      <c r="Z87" s="45"/>
      <c r="AA87" s="46"/>
      <c r="AB87" s="146"/>
      <c r="AC87" s="45"/>
      <c r="AD87" s="45"/>
      <c r="AE87" s="43"/>
      <c r="AF87" s="45"/>
      <c r="AG87" s="45"/>
      <c r="AH87" s="101">
        <f t="shared" si="1"/>
        <v>0</v>
      </c>
    </row>
    <row r="88" spans="1:34" s="37" customFormat="1" x14ac:dyDescent="0.2">
      <c r="A88" s="128" t="s">
        <v>88</v>
      </c>
      <c r="B88" s="43"/>
      <c r="C88" s="43"/>
      <c r="D88" s="43"/>
      <c r="E88" s="213"/>
      <c r="F88" s="43"/>
      <c r="G88" s="44"/>
      <c r="H88" s="45"/>
      <c r="I88" s="45"/>
      <c r="J88" s="58"/>
      <c r="K88" s="43"/>
      <c r="L88" s="45">
        <v>38128</v>
      </c>
      <c r="M88" s="45">
        <v>10928</v>
      </c>
      <c r="N88" s="46"/>
      <c r="O88" s="55"/>
      <c r="P88" s="45"/>
      <c r="Q88" s="55"/>
      <c r="R88" s="58">
        <v>10928</v>
      </c>
      <c r="S88" s="43"/>
      <c r="T88" s="45"/>
      <c r="U88" s="45"/>
      <c r="V88" s="45"/>
      <c r="W88" s="45"/>
      <c r="X88" s="46"/>
      <c r="Y88" s="146"/>
      <c r="Z88" s="45"/>
      <c r="AA88" s="46"/>
      <c r="AB88" s="146"/>
      <c r="AC88" s="45"/>
      <c r="AD88" s="45"/>
      <c r="AE88" s="43"/>
      <c r="AF88" s="45"/>
      <c r="AG88" s="45"/>
      <c r="AH88" s="101">
        <f t="shared" si="1"/>
        <v>0</v>
      </c>
    </row>
    <row r="89" spans="1:34" s="37" customFormat="1" x14ac:dyDescent="0.2">
      <c r="A89" s="128" t="s">
        <v>89</v>
      </c>
      <c r="B89" s="43"/>
      <c r="C89" s="43"/>
      <c r="D89" s="43"/>
      <c r="E89" s="213"/>
      <c r="F89" s="43"/>
      <c r="G89" s="44"/>
      <c r="H89" s="45"/>
      <c r="I89" s="45"/>
      <c r="J89" s="58"/>
      <c r="K89" s="43"/>
      <c r="L89" s="45">
        <v>10963</v>
      </c>
      <c r="M89" s="45">
        <v>3356</v>
      </c>
      <c r="N89" s="46"/>
      <c r="O89" s="55"/>
      <c r="P89" s="45"/>
      <c r="Q89" s="55"/>
      <c r="R89" s="58">
        <v>3356</v>
      </c>
      <c r="S89" s="43"/>
      <c r="T89" s="45"/>
      <c r="U89" s="45"/>
      <c r="V89" s="45"/>
      <c r="W89" s="45"/>
      <c r="X89" s="46"/>
      <c r="Y89" s="146"/>
      <c r="Z89" s="45"/>
      <c r="AA89" s="46"/>
      <c r="AB89" s="146"/>
      <c r="AC89" s="45"/>
      <c r="AD89" s="45"/>
      <c r="AE89" s="43"/>
      <c r="AF89" s="45"/>
      <c r="AG89" s="45"/>
      <c r="AH89" s="101">
        <f t="shared" si="1"/>
        <v>0</v>
      </c>
    </row>
    <row r="90" spans="1:34" s="37" customFormat="1" x14ac:dyDescent="0.2">
      <c r="A90" s="128" t="s">
        <v>90</v>
      </c>
      <c r="B90" s="43"/>
      <c r="C90" s="43"/>
      <c r="D90" s="43"/>
      <c r="E90" s="213"/>
      <c r="F90" s="43"/>
      <c r="G90" s="44"/>
      <c r="H90" s="45"/>
      <c r="I90" s="45"/>
      <c r="J90" s="58"/>
      <c r="K90" s="43"/>
      <c r="L90" s="45"/>
      <c r="M90" s="45">
        <v>2380</v>
      </c>
      <c r="N90" s="46"/>
      <c r="O90" s="55"/>
      <c r="P90" s="45"/>
      <c r="Q90" s="55"/>
      <c r="R90" s="58">
        <v>2380</v>
      </c>
      <c r="S90" s="43"/>
      <c r="T90" s="45"/>
      <c r="U90" s="45"/>
      <c r="V90" s="45"/>
      <c r="W90" s="45"/>
      <c r="X90" s="46"/>
      <c r="Y90" s="146"/>
      <c r="Z90" s="45"/>
      <c r="AA90" s="46"/>
      <c r="AB90" s="146"/>
      <c r="AC90" s="45"/>
      <c r="AD90" s="45"/>
      <c r="AE90" s="43"/>
      <c r="AF90" s="45"/>
      <c r="AG90" s="45"/>
      <c r="AH90" s="101">
        <f t="shared" si="1"/>
        <v>0</v>
      </c>
    </row>
    <row r="91" spans="1:34" s="37" customFormat="1" x14ac:dyDescent="0.2">
      <c r="A91" s="128" t="s">
        <v>155</v>
      </c>
      <c r="B91" s="43"/>
      <c r="C91" s="43"/>
      <c r="D91" s="43"/>
      <c r="E91" s="213"/>
      <c r="F91" s="43"/>
      <c r="G91" s="44"/>
      <c r="H91" s="45"/>
      <c r="I91" s="45"/>
      <c r="J91" s="58"/>
      <c r="K91" s="43"/>
      <c r="L91" s="45"/>
      <c r="M91" s="45">
        <v>8191</v>
      </c>
      <c r="N91" s="46"/>
      <c r="O91" s="55"/>
      <c r="P91" s="45"/>
      <c r="Q91" s="55"/>
      <c r="R91" s="58">
        <v>8191</v>
      </c>
      <c r="S91" s="43"/>
      <c r="T91" s="45"/>
      <c r="U91" s="45"/>
      <c r="V91" s="45"/>
      <c r="W91" s="45"/>
      <c r="X91" s="46"/>
      <c r="Y91" s="146"/>
      <c r="Z91" s="45"/>
      <c r="AA91" s="46"/>
      <c r="AB91" s="146"/>
      <c r="AC91" s="45"/>
      <c r="AD91" s="45"/>
      <c r="AE91" s="43"/>
      <c r="AF91" s="45"/>
      <c r="AG91" s="45"/>
      <c r="AH91" s="101">
        <f t="shared" si="1"/>
        <v>0</v>
      </c>
    </row>
    <row r="92" spans="1:34" s="37" customFormat="1" x14ac:dyDescent="0.2">
      <c r="A92" s="122" t="s">
        <v>156</v>
      </c>
      <c r="B92" s="43"/>
      <c r="C92" s="43"/>
      <c r="D92" s="43"/>
      <c r="E92" s="213"/>
      <c r="F92" s="43"/>
      <c r="G92" s="44"/>
      <c r="H92" s="45"/>
      <c r="I92" s="45"/>
      <c r="J92" s="58"/>
      <c r="K92" s="43"/>
      <c r="L92" s="45"/>
      <c r="M92" s="6">
        <v>0</v>
      </c>
      <c r="N92" s="24"/>
      <c r="O92" s="56"/>
      <c r="P92" s="45"/>
      <c r="Q92" s="124"/>
      <c r="R92" s="123"/>
      <c r="S92" s="43"/>
      <c r="T92" s="45"/>
      <c r="U92" s="45"/>
      <c r="V92" s="45"/>
      <c r="W92" s="45"/>
      <c r="X92" s="46"/>
      <c r="Y92" s="146"/>
      <c r="Z92" s="45"/>
      <c r="AA92" s="46"/>
      <c r="AB92" s="146"/>
      <c r="AC92" s="45"/>
      <c r="AD92" s="45"/>
      <c r="AE92" s="43"/>
      <c r="AF92" s="45"/>
      <c r="AG92" s="45"/>
      <c r="AH92" s="101">
        <f t="shared" si="1"/>
        <v>0</v>
      </c>
    </row>
    <row r="93" spans="1:34" s="37" customFormat="1" ht="25.5" x14ac:dyDescent="0.2">
      <c r="A93" s="128" t="s">
        <v>157</v>
      </c>
      <c r="B93" s="43"/>
      <c r="C93" s="43"/>
      <c r="D93" s="43"/>
      <c r="E93" s="213"/>
      <c r="F93" s="43"/>
      <c r="G93" s="44"/>
      <c r="H93" s="45"/>
      <c r="I93" s="45"/>
      <c r="J93" s="58"/>
      <c r="K93" s="43"/>
      <c r="L93" s="45"/>
      <c r="M93" s="45">
        <v>9804</v>
      </c>
      <c r="N93" s="46"/>
      <c r="O93" s="55"/>
      <c r="P93" s="45"/>
      <c r="Q93" s="55"/>
      <c r="R93" s="58">
        <v>9804</v>
      </c>
      <c r="S93" s="43"/>
      <c r="T93" s="45"/>
      <c r="U93" s="45"/>
      <c r="V93" s="45"/>
      <c r="W93" s="45"/>
      <c r="X93" s="46"/>
      <c r="Y93" s="146"/>
      <c r="Z93" s="45"/>
      <c r="AA93" s="46"/>
      <c r="AB93" s="146"/>
      <c r="AC93" s="45"/>
      <c r="AD93" s="45"/>
      <c r="AE93" s="43"/>
      <c r="AF93" s="45"/>
      <c r="AG93" s="45"/>
      <c r="AH93" s="101">
        <f t="shared" si="1"/>
        <v>0</v>
      </c>
    </row>
    <row r="94" spans="1:34" s="37" customFormat="1" x14ac:dyDescent="0.2">
      <c r="A94" s="128" t="s">
        <v>158</v>
      </c>
      <c r="B94" s="43"/>
      <c r="C94" s="43"/>
      <c r="D94" s="43"/>
      <c r="E94" s="213"/>
      <c r="F94" s="43"/>
      <c r="G94" s="44"/>
      <c r="H94" s="45"/>
      <c r="I94" s="45"/>
      <c r="J94" s="58"/>
      <c r="K94" s="43"/>
      <c r="L94" s="45"/>
      <c r="M94" s="45">
        <v>11853</v>
      </c>
      <c r="N94" s="46"/>
      <c r="O94" s="55"/>
      <c r="P94" s="45"/>
      <c r="Q94" s="55"/>
      <c r="R94" s="58">
        <v>11853</v>
      </c>
      <c r="S94" s="43"/>
      <c r="T94" s="45"/>
      <c r="U94" s="45"/>
      <c r="V94" s="45"/>
      <c r="W94" s="45"/>
      <c r="X94" s="46"/>
      <c r="Y94" s="146"/>
      <c r="Z94" s="45"/>
      <c r="AA94" s="46"/>
      <c r="AB94" s="146"/>
      <c r="AC94" s="45"/>
      <c r="AD94" s="45"/>
      <c r="AE94" s="43"/>
      <c r="AF94" s="45"/>
      <c r="AG94" s="45"/>
      <c r="AH94" s="101">
        <f t="shared" si="1"/>
        <v>0</v>
      </c>
    </row>
    <row r="95" spans="1:34" s="37" customFormat="1" ht="25.5" x14ac:dyDescent="0.2">
      <c r="A95" s="128" t="s">
        <v>159</v>
      </c>
      <c r="B95" s="43"/>
      <c r="C95" s="43"/>
      <c r="D95" s="43"/>
      <c r="E95" s="213"/>
      <c r="F95" s="43"/>
      <c r="G95" s="44"/>
      <c r="H95" s="45"/>
      <c r="I95" s="45"/>
      <c r="J95" s="58"/>
      <c r="K95" s="43"/>
      <c r="L95" s="45"/>
      <c r="M95" s="45">
        <v>15042</v>
      </c>
      <c r="N95" s="46"/>
      <c r="O95" s="55"/>
      <c r="P95" s="45"/>
      <c r="Q95" s="55"/>
      <c r="R95" s="58">
        <v>15042</v>
      </c>
      <c r="S95" s="43"/>
      <c r="T95" s="45"/>
      <c r="U95" s="45"/>
      <c r="V95" s="45"/>
      <c r="W95" s="45"/>
      <c r="X95" s="46"/>
      <c r="Y95" s="146"/>
      <c r="Z95" s="45"/>
      <c r="AA95" s="46"/>
      <c r="AB95" s="146"/>
      <c r="AC95" s="45"/>
      <c r="AD95" s="45"/>
      <c r="AE95" s="43"/>
      <c r="AF95" s="45"/>
      <c r="AG95" s="45"/>
      <c r="AH95" s="101">
        <f t="shared" si="1"/>
        <v>0</v>
      </c>
    </row>
    <row r="96" spans="1:34" s="37" customFormat="1" ht="25.5" x14ac:dyDescent="0.2">
      <c r="A96" s="149" t="s">
        <v>207</v>
      </c>
      <c r="B96" s="146"/>
      <c r="C96" s="43"/>
      <c r="D96" s="43"/>
      <c r="E96" s="213"/>
      <c r="F96" s="43"/>
      <c r="G96" s="44"/>
      <c r="H96" s="45"/>
      <c r="I96" s="45"/>
      <c r="J96" s="58"/>
      <c r="K96" s="43"/>
      <c r="L96" s="45"/>
      <c r="M96" s="45">
        <v>30175</v>
      </c>
      <c r="N96" s="46"/>
      <c r="O96" s="55"/>
      <c r="P96" s="45"/>
      <c r="Q96" s="55">
        <v>87975</v>
      </c>
      <c r="R96" s="58">
        <v>30175</v>
      </c>
      <c r="S96" s="43"/>
      <c r="T96" s="45"/>
      <c r="U96" s="45"/>
      <c r="V96" s="45">
        <v>95540</v>
      </c>
      <c r="W96" s="45">
        <v>87975</v>
      </c>
      <c r="X96" s="46"/>
      <c r="Y96" s="146"/>
      <c r="Z96" s="45">
        <v>250155</v>
      </c>
      <c r="AA96" s="46">
        <v>95540</v>
      </c>
      <c r="AB96" s="146"/>
      <c r="AC96" s="45">
        <v>365500</v>
      </c>
      <c r="AD96" s="45">
        <v>250155</v>
      </c>
      <c r="AE96" s="43"/>
      <c r="AF96" s="45"/>
      <c r="AG96" s="45">
        <v>365500</v>
      </c>
      <c r="AH96" s="101">
        <f t="shared" si="1"/>
        <v>0</v>
      </c>
    </row>
    <row r="97" spans="1:34" s="37" customFormat="1" x14ac:dyDescent="0.2">
      <c r="A97" s="149" t="s">
        <v>208</v>
      </c>
      <c r="B97" s="146"/>
      <c r="C97" s="43"/>
      <c r="D97" s="43"/>
      <c r="E97" s="213"/>
      <c r="F97" s="43"/>
      <c r="G97" s="44"/>
      <c r="H97" s="45"/>
      <c r="I97" s="45"/>
      <c r="J97" s="58"/>
      <c r="K97" s="43"/>
      <c r="L97" s="45"/>
      <c r="M97" s="45">
        <v>4000</v>
      </c>
      <c r="N97" s="46"/>
      <c r="O97" s="55"/>
      <c r="P97" s="45"/>
      <c r="Q97" s="55">
        <v>4000</v>
      </c>
      <c r="R97" s="58">
        <v>4000</v>
      </c>
      <c r="S97" s="43"/>
      <c r="T97" s="45"/>
      <c r="U97" s="45"/>
      <c r="V97" s="45">
        <v>63500</v>
      </c>
      <c r="W97" s="45">
        <v>4000</v>
      </c>
      <c r="X97" s="46"/>
      <c r="Y97" s="146"/>
      <c r="Z97" s="45">
        <v>97500</v>
      </c>
      <c r="AA97" s="46">
        <v>63500</v>
      </c>
      <c r="AB97" s="146"/>
      <c r="AC97" s="45">
        <v>80000</v>
      </c>
      <c r="AD97" s="45">
        <v>97500</v>
      </c>
      <c r="AE97" s="43"/>
      <c r="AF97" s="45"/>
      <c r="AG97" s="45">
        <v>80000</v>
      </c>
      <c r="AH97" s="101">
        <f t="shared" si="1"/>
        <v>0</v>
      </c>
    </row>
    <row r="98" spans="1:34" ht="25.5" x14ac:dyDescent="0.2">
      <c r="A98" s="148" t="s">
        <v>179</v>
      </c>
      <c r="B98" s="23"/>
      <c r="C98" s="23"/>
      <c r="D98" s="23"/>
      <c r="E98" s="214"/>
      <c r="F98" s="23"/>
      <c r="G98" s="6"/>
      <c r="H98" s="6">
        <v>45000</v>
      </c>
      <c r="I98" s="6"/>
      <c r="J98" s="59"/>
      <c r="K98" s="23"/>
      <c r="L98" s="6">
        <v>0</v>
      </c>
      <c r="M98" s="6"/>
      <c r="N98" s="24"/>
      <c r="O98" s="56"/>
      <c r="P98" s="6">
        <v>0</v>
      </c>
      <c r="Q98" s="56"/>
      <c r="R98" s="59"/>
      <c r="S98" s="23"/>
      <c r="T98" s="6">
        <v>0</v>
      </c>
      <c r="U98" s="6"/>
      <c r="V98" s="6"/>
      <c r="W98" s="6"/>
      <c r="X98" s="24"/>
      <c r="Y98" s="159"/>
      <c r="Z98" s="6"/>
      <c r="AA98" s="24"/>
      <c r="AB98" s="159"/>
      <c r="AC98" s="6"/>
      <c r="AD98" s="6"/>
      <c r="AE98" s="23"/>
      <c r="AF98" s="6"/>
      <c r="AG98" s="6"/>
      <c r="AH98" s="101">
        <f t="shared" ref="AH98:AH106" si="8">C98+D98+I98+M98+Q98+U98-E98-J98-N98-R98-W98</f>
        <v>0</v>
      </c>
    </row>
    <row r="99" spans="1:34" ht="25.5" x14ac:dyDescent="0.2">
      <c r="A99" s="16" t="s">
        <v>180</v>
      </c>
      <c r="B99" s="23"/>
      <c r="C99" s="23"/>
      <c r="D99" s="23"/>
      <c r="E99" s="214"/>
      <c r="F99" s="23"/>
      <c r="G99" s="6"/>
      <c r="H99" s="6">
        <v>0</v>
      </c>
      <c r="I99" s="6"/>
      <c r="J99" s="59"/>
      <c r="K99" s="47"/>
      <c r="L99" s="6">
        <v>5500</v>
      </c>
      <c r="M99" s="6"/>
      <c r="N99" s="24"/>
      <c r="O99" s="56"/>
      <c r="P99" s="6">
        <v>25000</v>
      </c>
      <c r="Q99" s="56"/>
      <c r="R99" s="59"/>
      <c r="S99" s="23"/>
      <c r="T99" s="6">
        <v>0</v>
      </c>
      <c r="U99" s="6"/>
      <c r="V99" s="6"/>
      <c r="W99" s="6"/>
      <c r="X99" s="24"/>
      <c r="Y99" s="159"/>
      <c r="Z99" s="6"/>
      <c r="AA99" s="24"/>
      <c r="AB99" s="159"/>
      <c r="AC99" s="6"/>
      <c r="AD99" s="6"/>
      <c r="AE99" s="23"/>
      <c r="AF99" s="6"/>
      <c r="AG99" s="6"/>
      <c r="AH99" s="101">
        <f t="shared" si="8"/>
        <v>0</v>
      </c>
    </row>
    <row r="100" spans="1:34" ht="25.5" x14ac:dyDescent="0.2">
      <c r="A100" s="16" t="s">
        <v>181</v>
      </c>
      <c r="B100" s="23"/>
      <c r="C100" s="23"/>
      <c r="D100" s="23"/>
      <c r="E100" s="214"/>
      <c r="F100" s="23"/>
      <c r="G100" s="6"/>
      <c r="H100" s="6">
        <v>2090</v>
      </c>
      <c r="I100" s="6"/>
      <c r="J100" s="59"/>
      <c r="K100" s="47"/>
      <c r="L100" s="6">
        <v>0</v>
      </c>
      <c r="M100" s="6"/>
      <c r="N100" s="24"/>
      <c r="O100" s="56"/>
      <c r="P100" s="6">
        <v>26000</v>
      </c>
      <c r="Q100" s="56"/>
      <c r="R100" s="59"/>
      <c r="S100" s="23"/>
      <c r="T100" s="6">
        <v>27610</v>
      </c>
      <c r="U100" s="6"/>
      <c r="V100" s="6"/>
      <c r="W100" s="6"/>
      <c r="X100" s="24"/>
      <c r="Y100" s="159"/>
      <c r="Z100" s="6"/>
      <c r="AA100" s="24"/>
      <c r="AB100" s="159"/>
      <c r="AC100" s="6"/>
      <c r="AD100" s="6"/>
      <c r="AE100" s="23"/>
      <c r="AF100" s="6"/>
      <c r="AG100" s="6"/>
      <c r="AH100" s="101">
        <f t="shared" si="8"/>
        <v>0</v>
      </c>
    </row>
    <row r="101" spans="1:34" ht="38.25" x14ac:dyDescent="0.2">
      <c r="A101" s="16" t="s">
        <v>182</v>
      </c>
      <c r="B101" s="23"/>
      <c r="C101" s="23"/>
      <c r="D101" s="23"/>
      <c r="E101" s="214"/>
      <c r="F101" s="23"/>
      <c r="G101" s="6"/>
      <c r="H101" s="6">
        <v>31098</v>
      </c>
      <c r="I101" s="6"/>
      <c r="J101" s="59"/>
      <c r="K101" s="23"/>
      <c r="L101" s="6">
        <v>19500</v>
      </c>
      <c r="M101" s="6"/>
      <c r="N101" s="24"/>
      <c r="O101" s="56"/>
      <c r="P101" s="6">
        <v>0</v>
      </c>
      <c r="Q101" s="56"/>
      <c r="R101" s="59"/>
      <c r="S101" s="23"/>
      <c r="T101" s="6">
        <v>0</v>
      </c>
      <c r="U101" s="6"/>
      <c r="V101" s="6"/>
      <c r="W101" s="6"/>
      <c r="X101" s="24"/>
      <c r="Y101" s="159"/>
      <c r="Z101" s="6"/>
      <c r="AA101" s="24"/>
      <c r="AB101" s="159"/>
      <c r="AC101" s="6"/>
      <c r="AD101" s="6"/>
      <c r="AE101" s="23"/>
      <c r="AF101" s="6"/>
      <c r="AG101" s="6"/>
      <c r="AH101" s="101">
        <f t="shared" si="8"/>
        <v>0</v>
      </c>
    </row>
    <row r="102" spans="1:34" ht="38.25" x14ac:dyDescent="0.2">
      <c r="A102" s="16" t="s">
        <v>183</v>
      </c>
      <c r="B102" s="23"/>
      <c r="C102" s="23"/>
      <c r="D102" s="23"/>
      <c r="E102" s="214"/>
      <c r="F102" s="23"/>
      <c r="G102" s="6"/>
      <c r="H102" s="6">
        <v>5500</v>
      </c>
      <c r="I102" s="6"/>
      <c r="J102" s="59"/>
      <c r="K102" s="23"/>
      <c r="L102" s="6">
        <v>0</v>
      </c>
      <c r="M102" s="6"/>
      <c r="N102" s="24"/>
      <c r="O102" s="56"/>
      <c r="P102" s="6">
        <v>0</v>
      </c>
      <c r="Q102" s="56"/>
      <c r="R102" s="59"/>
      <c r="S102" s="23"/>
      <c r="T102" s="6">
        <v>0</v>
      </c>
      <c r="U102" s="6"/>
      <c r="V102" s="6"/>
      <c r="W102" s="6"/>
      <c r="X102" s="24"/>
      <c r="Y102" s="159"/>
      <c r="Z102" s="6"/>
      <c r="AA102" s="24"/>
      <c r="AB102" s="159"/>
      <c r="AC102" s="6"/>
      <c r="AD102" s="6"/>
      <c r="AE102" s="23"/>
      <c r="AF102" s="6"/>
      <c r="AG102" s="6"/>
      <c r="AH102" s="101">
        <f t="shared" si="8"/>
        <v>0</v>
      </c>
    </row>
    <row r="103" spans="1:34" ht="38.25" x14ac:dyDescent="0.2">
      <c r="A103" s="16" t="s">
        <v>184</v>
      </c>
      <c r="B103" s="23"/>
      <c r="C103" s="23"/>
      <c r="D103" s="23"/>
      <c r="E103" s="214"/>
      <c r="F103" s="23"/>
      <c r="G103" s="6"/>
      <c r="H103" s="6">
        <v>20571</v>
      </c>
      <c r="I103" s="6"/>
      <c r="J103" s="59"/>
      <c r="K103" s="23"/>
      <c r="L103" s="6">
        <v>113428</v>
      </c>
      <c r="M103" s="6"/>
      <c r="N103" s="24"/>
      <c r="O103" s="56"/>
      <c r="P103" s="6">
        <v>42000</v>
      </c>
      <c r="Q103" s="56"/>
      <c r="R103" s="59"/>
      <c r="S103" s="23"/>
      <c r="T103" s="6">
        <v>0</v>
      </c>
      <c r="U103" s="6"/>
      <c r="V103" s="6"/>
      <c r="W103" s="6"/>
      <c r="X103" s="24"/>
      <c r="Y103" s="159"/>
      <c r="Z103" s="6"/>
      <c r="AA103" s="24"/>
      <c r="AB103" s="159"/>
      <c r="AC103" s="6"/>
      <c r="AD103" s="6"/>
      <c r="AE103" s="23"/>
      <c r="AF103" s="6"/>
      <c r="AG103" s="6"/>
      <c r="AH103" s="101">
        <f t="shared" si="8"/>
        <v>0</v>
      </c>
    </row>
    <row r="104" spans="1:34" ht="25.5" x14ac:dyDescent="0.2">
      <c r="A104" s="16" t="s">
        <v>185</v>
      </c>
      <c r="B104" s="23"/>
      <c r="C104" s="23"/>
      <c r="D104" s="23"/>
      <c r="E104" s="214"/>
      <c r="F104" s="23"/>
      <c r="G104" s="6"/>
      <c r="H104" s="6">
        <v>51000</v>
      </c>
      <c r="I104" s="6"/>
      <c r="J104" s="59"/>
      <c r="K104" s="47"/>
      <c r="L104" s="6">
        <v>0</v>
      </c>
      <c r="M104" s="6"/>
      <c r="N104" s="24"/>
      <c r="O104" s="56"/>
      <c r="P104" s="6">
        <v>0</v>
      </c>
      <c r="Q104" s="56"/>
      <c r="R104" s="59"/>
      <c r="S104" s="23"/>
      <c r="T104" s="6">
        <v>0</v>
      </c>
      <c r="U104" s="6"/>
      <c r="V104" s="6"/>
      <c r="W104" s="6"/>
      <c r="X104" s="24"/>
      <c r="Y104" s="159"/>
      <c r="Z104" s="6"/>
      <c r="AA104" s="24"/>
      <c r="AB104" s="159"/>
      <c r="AC104" s="6"/>
      <c r="AD104" s="6"/>
      <c r="AE104" s="23"/>
      <c r="AF104" s="6"/>
      <c r="AG104" s="6"/>
      <c r="AH104" s="101">
        <f t="shared" si="8"/>
        <v>0</v>
      </c>
    </row>
    <row r="105" spans="1:34" ht="25.5" x14ac:dyDescent="0.2">
      <c r="A105" s="19" t="s">
        <v>186</v>
      </c>
      <c r="B105" s="23"/>
      <c r="C105" s="23"/>
      <c r="D105" s="23"/>
      <c r="E105" s="214"/>
      <c r="F105" s="23"/>
      <c r="G105" s="6"/>
      <c r="H105" s="6">
        <v>3300</v>
      </c>
      <c r="I105" s="6"/>
      <c r="J105" s="59"/>
      <c r="K105" s="47"/>
      <c r="L105" s="6">
        <v>0</v>
      </c>
      <c r="M105" s="6"/>
      <c r="N105" s="24"/>
      <c r="O105" s="56"/>
      <c r="P105" s="6">
        <v>0</v>
      </c>
      <c r="Q105" s="56"/>
      <c r="R105" s="59"/>
      <c r="S105" s="23"/>
      <c r="T105" s="6">
        <v>0</v>
      </c>
      <c r="U105" s="6"/>
      <c r="V105" s="6"/>
      <c r="W105" s="6"/>
      <c r="X105" s="24"/>
      <c r="Y105" s="159"/>
      <c r="Z105" s="6"/>
      <c r="AA105" s="24"/>
      <c r="AB105" s="159"/>
      <c r="AC105" s="6"/>
      <c r="AD105" s="6"/>
      <c r="AE105" s="23"/>
      <c r="AF105" s="6"/>
      <c r="AG105" s="6"/>
      <c r="AH105" s="101">
        <f t="shared" si="8"/>
        <v>0</v>
      </c>
    </row>
    <row r="106" spans="1:34" ht="51" x14ac:dyDescent="0.2">
      <c r="A106" s="16" t="s">
        <v>187</v>
      </c>
      <c r="B106" s="23"/>
      <c r="C106" s="23"/>
      <c r="D106" s="23"/>
      <c r="E106" s="214"/>
      <c r="F106" s="23"/>
      <c r="G106" s="6"/>
      <c r="H106" s="6">
        <v>10000</v>
      </c>
      <c r="I106" s="6"/>
      <c r="J106" s="59"/>
      <c r="K106" s="47"/>
      <c r="L106" s="6">
        <v>28000</v>
      </c>
      <c r="M106" s="6"/>
      <c r="N106" s="24"/>
      <c r="O106" s="56"/>
      <c r="P106" s="6">
        <v>0</v>
      </c>
      <c r="Q106" s="56"/>
      <c r="R106" s="59"/>
      <c r="S106" s="23"/>
      <c r="T106" s="6">
        <v>0</v>
      </c>
      <c r="U106" s="6"/>
      <c r="V106" s="6"/>
      <c r="W106" s="6"/>
      <c r="X106" s="24"/>
      <c r="Y106" s="159"/>
      <c r="Z106" s="6"/>
      <c r="AA106" s="24"/>
      <c r="AB106" s="159"/>
      <c r="AC106" s="6"/>
      <c r="AD106" s="6"/>
      <c r="AE106" s="23"/>
      <c r="AF106" s="6"/>
      <c r="AG106" s="6"/>
      <c r="AH106" s="101">
        <f t="shared" si="8"/>
        <v>0</v>
      </c>
    </row>
    <row r="107" spans="1:34" ht="25.5" x14ac:dyDescent="0.2">
      <c r="A107" s="16" t="s">
        <v>222</v>
      </c>
      <c r="B107" s="23"/>
      <c r="C107" s="23"/>
      <c r="D107" s="23"/>
      <c r="E107" s="214"/>
      <c r="F107" s="23"/>
      <c r="G107" s="6"/>
      <c r="H107" s="6">
        <v>1500</v>
      </c>
      <c r="I107" s="6"/>
      <c r="J107" s="59"/>
      <c r="K107" s="47"/>
      <c r="L107" s="6">
        <v>12850</v>
      </c>
      <c r="M107" s="6"/>
      <c r="N107" s="24"/>
      <c r="O107" s="56"/>
      <c r="P107" s="6"/>
      <c r="Q107" s="56"/>
      <c r="R107" s="59"/>
      <c r="S107" s="23"/>
      <c r="T107" s="6"/>
      <c r="U107" s="6"/>
      <c r="V107" s="6"/>
      <c r="W107" s="6"/>
      <c r="X107" s="24"/>
      <c r="Y107" s="159"/>
      <c r="Z107" s="6"/>
      <c r="AA107" s="24"/>
      <c r="AB107" s="159"/>
      <c r="AC107" s="6"/>
      <c r="AD107" s="6"/>
      <c r="AE107" s="23"/>
      <c r="AF107" s="6"/>
      <c r="AG107" s="6"/>
      <c r="AH107" s="101"/>
    </row>
    <row r="108" spans="1:34" ht="25.5" x14ac:dyDescent="0.2">
      <c r="A108" s="16" t="s">
        <v>188</v>
      </c>
      <c r="B108" s="23"/>
      <c r="C108" s="23"/>
      <c r="D108" s="23"/>
      <c r="E108" s="214"/>
      <c r="F108" s="23">
        <v>162175.28</v>
      </c>
      <c r="G108" s="6"/>
      <c r="H108" s="6">
        <v>27200</v>
      </c>
      <c r="I108" s="6"/>
      <c r="J108" s="59"/>
      <c r="K108" s="23"/>
      <c r="L108" s="6">
        <v>500</v>
      </c>
      <c r="M108" s="6"/>
      <c r="N108" s="24"/>
      <c r="O108" s="56"/>
      <c r="P108" s="6">
        <v>0</v>
      </c>
      <c r="Q108" s="56"/>
      <c r="R108" s="59"/>
      <c r="S108" s="23"/>
      <c r="T108" s="6">
        <v>0</v>
      </c>
      <c r="U108" s="6"/>
      <c r="V108" s="6"/>
      <c r="W108" s="6"/>
      <c r="X108" s="24"/>
      <c r="Y108" s="159"/>
      <c r="Z108" s="6"/>
      <c r="AA108" s="24"/>
      <c r="AB108" s="159"/>
      <c r="AC108" s="6"/>
      <c r="AD108" s="6"/>
      <c r="AE108" s="23"/>
      <c r="AF108" s="6"/>
      <c r="AG108" s="6"/>
      <c r="AH108" s="101">
        <f>C108+D108+I108+M108+Q108+U108-E108-J108-N108-R108-W108</f>
        <v>0</v>
      </c>
    </row>
    <row r="109" spans="1:34" ht="25.5" x14ac:dyDescent="0.2">
      <c r="A109" s="16" t="s">
        <v>189</v>
      </c>
      <c r="B109" s="23"/>
      <c r="C109" s="23"/>
      <c r="D109" s="23"/>
      <c r="E109" s="214"/>
      <c r="F109" s="23"/>
      <c r="G109" s="6"/>
      <c r="H109" s="6">
        <v>25700</v>
      </c>
      <c r="I109" s="6"/>
      <c r="J109" s="59"/>
      <c r="K109" s="47"/>
      <c r="L109" s="6">
        <v>0</v>
      </c>
      <c r="M109" s="6"/>
      <c r="N109" s="24"/>
      <c r="O109" s="56"/>
      <c r="P109" s="6">
        <v>0</v>
      </c>
      <c r="Q109" s="56"/>
      <c r="R109" s="59"/>
      <c r="S109" s="23"/>
      <c r="T109" s="6">
        <v>0</v>
      </c>
      <c r="U109" s="6"/>
      <c r="V109" s="6"/>
      <c r="W109" s="6"/>
      <c r="X109" s="24"/>
      <c r="Y109" s="159"/>
      <c r="Z109" s="6"/>
      <c r="AA109" s="24"/>
      <c r="AB109" s="159"/>
      <c r="AC109" s="6"/>
      <c r="AD109" s="6"/>
      <c r="AE109" s="23"/>
      <c r="AF109" s="6"/>
      <c r="AG109" s="6"/>
      <c r="AH109" s="101">
        <f>C109+D109+I109+M109+Q109+U109-E109-J109-N109-R109-W109</f>
        <v>0</v>
      </c>
    </row>
    <row r="110" spans="1:34" ht="25.5" x14ac:dyDescent="0.2">
      <c r="A110" s="16" t="s">
        <v>190</v>
      </c>
      <c r="B110" s="23"/>
      <c r="C110" s="23"/>
      <c r="D110" s="23"/>
      <c r="E110" s="214"/>
      <c r="F110" s="23"/>
      <c r="G110" s="6"/>
      <c r="H110" s="6">
        <v>40000</v>
      </c>
      <c r="I110" s="6"/>
      <c r="J110" s="59"/>
      <c r="K110" s="23"/>
      <c r="L110" s="6">
        <v>0</v>
      </c>
      <c r="M110" s="6"/>
      <c r="N110" s="24"/>
      <c r="O110" s="56"/>
      <c r="P110" s="6">
        <v>0</v>
      </c>
      <c r="Q110" s="56"/>
      <c r="R110" s="59"/>
      <c r="S110" s="23"/>
      <c r="T110" s="6">
        <v>0</v>
      </c>
      <c r="U110" s="6"/>
      <c r="V110" s="6"/>
      <c r="W110" s="6"/>
      <c r="X110" s="24"/>
      <c r="Y110" s="159"/>
      <c r="Z110" s="6"/>
      <c r="AA110" s="24"/>
      <c r="AB110" s="159"/>
      <c r="AC110" s="6"/>
      <c r="AD110" s="6"/>
      <c r="AE110" s="23"/>
      <c r="AF110" s="6"/>
      <c r="AG110" s="6"/>
      <c r="AH110" s="101">
        <f>C110+D110+I110+M110+Q110+U110-E110-J110-N110-R110-W110</f>
        <v>0</v>
      </c>
    </row>
    <row r="111" spans="1:34" ht="38.25" x14ac:dyDescent="0.2">
      <c r="A111" s="16" t="s">
        <v>191</v>
      </c>
      <c r="B111" s="23"/>
      <c r="C111" s="23"/>
      <c r="D111" s="23"/>
      <c r="E111" s="214"/>
      <c r="F111" s="23"/>
      <c r="G111" s="6"/>
      <c r="H111" s="6">
        <v>500</v>
      </c>
      <c r="I111" s="6"/>
      <c r="J111" s="59"/>
      <c r="K111" s="23"/>
      <c r="L111" s="6">
        <v>50639</v>
      </c>
      <c r="M111" s="6"/>
      <c r="N111" s="24"/>
      <c r="O111" s="56"/>
      <c r="P111" s="6">
        <v>0</v>
      </c>
      <c r="Q111" s="56"/>
      <c r="R111" s="59"/>
      <c r="S111" s="23"/>
      <c r="T111" s="6">
        <v>0</v>
      </c>
      <c r="U111" s="6"/>
      <c r="V111" s="6"/>
      <c r="W111" s="6"/>
      <c r="X111" s="24"/>
      <c r="Y111" s="159"/>
      <c r="Z111" s="6"/>
      <c r="AA111" s="24"/>
      <c r="AB111" s="159"/>
      <c r="AC111" s="6"/>
      <c r="AD111" s="6"/>
      <c r="AE111" s="23"/>
      <c r="AF111" s="6"/>
      <c r="AG111" s="6"/>
      <c r="AH111" s="101">
        <f>C111+D111+I111+M111+Q111+U111-E111-J111-N111-R111-W111</f>
        <v>0</v>
      </c>
    </row>
    <row r="112" spans="1:34" ht="38.25" x14ac:dyDescent="0.2">
      <c r="A112" s="16" t="s">
        <v>192</v>
      </c>
      <c r="B112" s="23"/>
      <c r="C112" s="23"/>
      <c r="D112" s="23"/>
      <c r="E112" s="214"/>
      <c r="F112" s="23"/>
      <c r="G112" s="6"/>
      <c r="H112" s="6">
        <v>6200</v>
      </c>
      <c r="I112" s="6"/>
      <c r="J112" s="59"/>
      <c r="K112" s="23"/>
      <c r="L112" s="6">
        <v>0</v>
      </c>
      <c r="M112" s="6"/>
      <c r="N112" s="24"/>
      <c r="O112" s="56"/>
      <c r="P112" s="6">
        <v>0</v>
      </c>
      <c r="Q112" s="56"/>
      <c r="R112" s="59"/>
      <c r="S112" s="23"/>
      <c r="T112" s="6">
        <v>0</v>
      </c>
      <c r="U112" s="6"/>
      <c r="V112" s="6"/>
      <c r="W112" s="6"/>
      <c r="X112" s="24"/>
      <c r="Y112" s="159"/>
      <c r="Z112" s="6"/>
      <c r="AA112" s="24"/>
      <c r="AB112" s="159"/>
      <c r="AC112" s="6"/>
      <c r="AD112" s="6"/>
      <c r="AE112" s="23"/>
      <c r="AF112" s="6"/>
      <c r="AG112" s="6"/>
      <c r="AH112" s="101">
        <f>C112+D112+I112+M112+Q112+U112-E112-J112-N112-R112-W112</f>
        <v>0</v>
      </c>
    </row>
    <row r="113" spans="1:34" ht="38.25" x14ac:dyDescent="0.2">
      <c r="A113" s="16" t="s">
        <v>226</v>
      </c>
      <c r="B113" s="23"/>
      <c r="C113" s="23"/>
      <c r="D113" s="23"/>
      <c r="E113" s="214"/>
      <c r="F113" s="23"/>
      <c r="G113" s="6"/>
      <c r="H113" s="6"/>
      <c r="I113" s="6"/>
      <c r="J113" s="59"/>
      <c r="K113" s="23"/>
      <c r="L113" s="6">
        <v>11420</v>
      </c>
      <c r="M113" s="6"/>
      <c r="N113" s="24"/>
      <c r="O113" s="56"/>
      <c r="P113" s="6"/>
      <c r="Q113" s="56"/>
      <c r="R113" s="59"/>
      <c r="S113" s="23"/>
      <c r="T113" s="6"/>
      <c r="U113" s="6"/>
      <c r="V113" s="6"/>
      <c r="W113" s="6"/>
      <c r="X113" s="24"/>
      <c r="Y113" s="159"/>
      <c r="Z113" s="6"/>
      <c r="AA113" s="24"/>
      <c r="AB113" s="159"/>
      <c r="AC113" s="6"/>
      <c r="AD113" s="6"/>
      <c r="AE113" s="23"/>
      <c r="AF113" s="6"/>
      <c r="AG113" s="6"/>
      <c r="AH113" s="101"/>
    </row>
    <row r="114" spans="1:34" ht="25.5" x14ac:dyDescent="0.2">
      <c r="A114" s="16" t="s">
        <v>223</v>
      </c>
      <c r="B114" s="23"/>
      <c r="C114" s="23"/>
      <c r="D114" s="23"/>
      <c r="E114" s="214"/>
      <c r="F114" s="23"/>
      <c r="G114" s="6"/>
      <c r="H114" s="6">
        <v>9120</v>
      </c>
      <c r="I114" s="6"/>
      <c r="J114" s="59"/>
      <c r="K114" s="23"/>
      <c r="L114" s="6"/>
      <c r="M114" s="6"/>
      <c r="N114" s="24"/>
      <c r="O114" s="56"/>
      <c r="P114" s="6"/>
      <c r="Q114" s="56"/>
      <c r="R114" s="59"/>
      <c r="S114" s="23"/>
      <c r="T114" s="6"/>
      <c r="U114" s="6"/>
      <c r="V114" s="6"/>
      <c r="W114" s="6"/>
      <c r="X114" s="24"/>
      <c r="Y114" s="159"/>
      <c r="Z114" s="6"/>
      <c r="AA114" s="24"/>
      <c r="AB114" s="159"/>
      <c r="AC114" s="6"/>
      <c r="AD114" s="6"/>
      <c r="AE114" s="23"/>
      <c r="AF114" s="6"/>
      <c r="AG114" s="6"/>
      <c r="AH114" s="101"/>
    </row>
    <row r="115" spans="1:34" ht="25.5" x14ac:dyDescent="0.2">
      <c r="A115" s="16" t="s">
        <v>224</v>
      </c>
      <c r="B115" s="23"/>
      <c r="C115" s="23"/>
      <c r="D115" s="23"/>
      <c r="E115" s="214"/>
      <c r="F115" s="23"/>
      <c r="G115" s="6"/>
      <c r="H115" s="6">
        <v>1500</v>
      </c>
      <c r="I115" s="6"/>
      <c r="J115" s="59"/>
      <c r="K115" s="23"/>
      <c r="L115" s="6">
        <v>20000</v>
      </c>
      <c r="M115" s="6"/>
      <c r="N115" s="24"/>
      <c r="O115" s="56"/>
      <c r="P115" s="6"/>
      <c r="Q115" s="56"/>
      <c r="R115" s="59"/>
      <c r="S115" s="23"/>
      <c r="T115" s="6"/>
      <c r="U115" s="6"/>
      <c r="V115" s="6"/>
      <c r="W115" s="6"/>
      <c r="X115" s="24"/>
      <c r="Y115" s="159"/>
      <c r="Z115" s="6"/>
      <c r="AA115" s="24"/>
      <c r="AB115" s="159"/>
      <c r="AC115" s="6"/>
      <c r="AD115" s="6"/>
      <c r="AE115" s="23"/>
      <c r="AF115" s="6"/>
      <c r="AG115" s="6"/>
      <c r="AH115" s="101"/>
    </row>
    <row r="116" spans="1:34" ht="25.5" x14ac:dyDescent="0.2">
      <c r="A116" s="16" t="s">
        <v>235</v>
      </c>
      <c r="B116" s="23"/>
      <c r="C116" s="23"/>
      <c r="D116" s="23"/>
      <c r="E116" s="214"/>
      <c r="F116" s="23"/>
      <c r="G116" s="6"/>
      <c r="H116" s="6"/>
      <c r="I116" s="6"/>
      <c r="J116" s="59"/>
      <c r="K116" s="23"/>
      <c r="L116" s="6">
        <v>60500</v>
      </c>
      <c r="M116" s="6"/>
      <c r="N116" s="24"/>
      <c r="O116" s="56"/>
      <c r="P116" s="6">
        <v>0</v>
      </c>
      <c r="Q116" s="56"/>
      <c r="R116" s="59"/>
      <c r="S116" s="23"/>
      <c r="T116" s="6"/>
      <c r="U116" s="6"/>
      <c r="V116" s="6"/>
      <c r="W116" s="6"/>
      <c r="X116" s="24"/>
      <c r="Y116" s="159"/>
      <c r="Z116" s="6"/>
      <c r="AA116" s="24"/>
      <c r="AB116" s="159"/>
      <c r="AC116" s="6"/>
      <c r="AD116" s="6"/>
      <c r="AE116" s="23"/>
      <c r="AF116" s="6"/>
      <c r="AG116" s="6"/>
      <c r="AH116" s="101"/>
    </row>
    <row r="117" spans="1:34" ht="25.5" x14ac:dyDescent="0.2">
      <c r="A117" s="16" t="s">
        <v>225</v>
      </c>
      <c r="B117" s="23"/>
      <c r="C117" s="23"/>
      <c r="D117" s="23"/>
      <c r="E117" s="214"/>
      <c r="F117" s="23"/>
      <c r="G117" s="6"/>
      <c r="H117" s="6">
        <v>23000</v>
      </c>
      <c r="I117" s="6"/>
      <c r="J117" s="59"/>
      <c r="K117" s="23"/>
      <c r="L117" s="6"/>
      <c r="M117" s="6"/>
      <c r="N117" s="24"/>
      <c r="O117" s="56"/>
      <c r="P117" s="6"/>
      <c r="Q117" s="56"/>
      <c r="R117" s="59"/>
      <c r="S117" s="23"/>
      <c r="T117" s="6"/>
      <c r="U117" s="6"/>
      <c r="V117" s="6"/>
      <c r="W117" s="6"/>
      <c r="X117" s="24"/>
      <c r="Y117" s="159"/>
      <c r="Z117" s="6"/>
      <c r="AA117" s="24"/>
      <c r="AB117" s="159"/>
      <c r="AC117" s="6"/>
      <c r="AD117" s="6"/>
      <c r="AE117" s="23"/>
      <c r="AF117" s="6"/>
      <c r="AG117" s="6"/>
      <c r="AH117" s="101"/>
    </row>
    <row r="118" spans="1:34" ht="25.5" x14ac:dyDescent="0.2">
      <c r="A118" s="16" t="s">
        <v>193</v>
      </c>
      <c r="B118" s="23"/>
      <c r="C118" s="23"/>
      <c r="D118" s="23"/>
      <c r="E118" s="214"/>
      <c r="F118" s="23"/>
      <c r="G118" s="6"/>
      <c r="H118" s="6">
        <v>11064.91</v>
      </c>
      <c r="I118" s="6"/>
      <c r="J118" s="59"/>
      <c r="K118" s="47"/>
      <c r="L118" s="6">
        <v>0</v>
      </c>
      <c r="M118" s="6"/>
      <c r="N118" s="24"/>
      <c r="O118" s="56"/>
      <c r="P118" s="6">
        <v>100000</v>
      </c>
      <c r="Q118" s="56"/>
      <c r="R118" s="59"/>
      <c r="S118" s="23"/>
      <c r="T118" s="6">
        <v>100000</v>
      </c>
      <c r="U118" s="6"/>
      <c r="V118" s="6"/>
      <c r="W118" s="6"/>
      <c r="X118" s="24"/>
      <c r="Y118" s="159"/>
      <c r="Z118" s="6"/>
      <c r="AA118" s="24"/>
      <c r="AB118" s="159"/>
      <c r="AC118" s="6"/>
      <c r="AD118" s="6"/>
      <c r="AE118" s="23"/>
      <c r="AF118" s="6"/>
      <c r="AG118" s="6"/>
      <c r="AH118" s="101">
        <f t="shared" ref="AH118:AH175" si="9">C118+D118+I118+M118+Q118+U118-E118-J118-N118-R118-W118</f>
        <v>0</v>
      </c>
    </row>
    <row r="119" spans="1:34" s="8" customFormat="1" x14ac:dyDescent="0.2">
      <c r="A119" s="17" t="s">
        <v>28</v>
      </c>
      <c r="B119" s="25">
        <f t="shared" ref="B119:AG119" si="10">SUM(B69:B118)</f>
        <v>0</v>
      </c>
      <c r="C119" s="25">
        <f t="shared" si="10"/>
        <v>26405.047129999999</v>
      </c>
      <c r="D119" s="25">
        <f t="shared" si="10"/>
        <v>11784.489999999998</v>
      </c>
      <c r="E119" s="142">
        <f t="shared" si="10"/>
        <v>26992.61</v>
      </c>
      <c r="F119" s="199">
        <f t="shared" si="10"/>
        <v>162175.28</v>
      </c>
      <c r="G119" s="191">
        <f t="shared" si="10"/>
        <v>359.74</v>
      </c>
      <c r="H119" s="191">
        <f t="shared" si="10"/>
        <v>314343.90999999997</v>
      </c>
      <c r="I119" s="191">
        <f t="shared" si="10"/>
        <v>37945.479999999996</v>
      </c>
      <c r="J119" s="218">
        <f t="shared" si="10"/>
        <v>14760.710000000001</v>
      </c>
      <c r="K119" s="199">
        <f t="shared" si="10"/>
        <v>0</v>
      </c>
      <c r="L119" s="191">
        <f t="shared" si="10"/>
        <v>417335</v>
      </c>
      <c r="M119" s="191">
        <f t="shared" si="10"/>
        <v>149195</v>
      </c>
      <c r="N119" s="200">
        <f t="shared" si="10"/>
        <v>17673</v>
      </c>
      <c r="O119" s="200">
        <f t="shared" si="10"/>
        <v>0</v>
      </c>
      <c r="P119" s="191">
        <f t="shared" si="10"/>
        <v>193000</v>
      </c>
      <c r="Q119" s="15">
        <f t="shared" si="10"/>
        <v>124905</v>
      </c>
      <c r="R119" s="60">
        <f t="shared" si="10"/>
        <v>198625</v>
      </c>
      <c r="S119" s="199"/>
      <c r="T119" s="191">
        <f t="shared" si="10"/>
        <v>127610</v>
      </c>
      <c r="U119" s="191">
        <f t="shared" si="10"/>
        <v>0</v>
      </c>
      <c r="V119" s="191">
        <f t="shared" si="10"/>
        <v>159040</v>
      </c>
      <c r="W119" s="191">
        <f t="shared" si="10"/>
        <v>91975</v>
      </c>
      <c r="X119" s="200">
        <f t="shared" si="10"/>
        <v>0</v>
      </c>
      <c r="Y119" s="205"/>
      <c r="Z119" s="191">
        <f t="shared" si="10"/>
        <v>347655</v>
      </c>
      <c r="AA119" s="200">
        <f t="shared" si="10"/>
        <v>159040</v>
      </c>
      <c r="AB119" s="15">
        <f t="shared" si="10"/>
        <v>0</v>
      </c>
      <c r="AC119" s="15">
        <f t="shared" si="10"/>
        <v>445500</v>
      </c>
      <c r="AD119" s="15">
        <f t="shared" si="10"/>
        <v>347655</v>
      </c>
      <c r="AE119" s="15">
        <f t="shared" si="10"/>
        <v>0</v>
      </c>
      <c r="AF119" s="15">
        <f t="shared" si="10"/>
        <v>0</v>
      </c>
      <c r="AG119" s="15">
        <f t="shared" si="10"/>
        <v>445500</v>
      </c>
      <c r="AH119" s="101">
        <f t="shared" si="9"/>
        <v>208.69712999998592</v>
      </c>
    </row>
    <row r="120" spans="1:34" s="37" customFormat="1" x14ac:dyDescent="0.2">
      <c r="A120" s="125" t="s">
        <v>91</v>
      </c>
      <c r="B120" s="43"/>
      <c r="C120" s="43"/>
      <c r="D120" s="43"/>
      <c r="E120" s="213"/>
      <c r="F120" s="43"/>
      <c r="G120" s="44"/>
      <c r="H120" s="45"/>
      <c r="I120" s="45"/>
      <c r="J120" s="58"/>
      <c r="K120" s="43"/>
      <c r="L120" s="45"/>
      <c r="M120" s="45"/>
      <c r="N120" s="46"/>
      <c r="O120" s="55"/>
      <c r="P120" s="45"/>
      <c r="Q120" s="55">
        <v>35000</v>
      </c>
      <c r="R120" s="58">
        <v>0</v>
      </c>
      <c r="S120" s="43"/>
      <c r="T120" s="6"/>
      <c r="U120" s="6"/>
      <c r="V120" s="6">
        <v>80500</v>
      </c>
      <c r="W120" s="6">
        <v>35000</v>
      </c>
      <c r="X120" s="24"/>
      <c r="Y120" s="159"/>
      <c r="Z120" s="6"/>
      <c r="AA120" s="24">
        <v>80500</v>
      </c>
      <c r="AB120" s="159"/>
      <c r="AC120" s="6"/>
      <c r="AD120" s="6"/>
      <c r="AE120" s="23"/>
      <c r="AF120" s="6"/>
      <c r="AG120" s="6"/>
      <c r="AH120" s="101">
        <f t="shared" si="9"/>
        <v>0</v>
      </c>
    </row>
    <row r="121" spans="1:34" s="8" customFormat="1" x14ac:dyDescent="0.2">
      <c r="A121" s="157" t="s">
        <v>212</v>
      </c>
      <c r="B121" s="43"/>
      <c r="C121" s="43"/>
      <c r="D121" s="43"/>
      <c r="E121" s="213"/>
      <c r="F121" s="43"/>
      <c r="G121" s="45"/>
      <c r="H121" s="45"/>
      <c r="I121" s="45"/>
      <c r="J121" s="58"/>
      <c r="K121" s="43"/>
      <c r="L121" s="45"/>
      <c r="M121" s="45"/>
      <c r="N121" s="46"/>
      <c r="O121" s="55"/>
      <c r="P121" s="45"/>
      <c r="Q121" s="55">
        <v>29500</v>
      </c>
      <c r="R121" s="58"/>
      <c r="S121" s="43"/>
      <c r="T121" s="45"/>
      <c r="U121" s="45"/>
      <c r="V121" s="45">
        <v>140000</v>
      </c>
      <c r="W121" s="45">
        <v>29500</v>
      </c>
      <c r="X121" s="46">
        <v>64550</v>
      </c>
      <c r="Y121" s="146"/>
      <c r="Z121" s="45">
        <v>242000</v>
      </c>
      <c r="AA121" s="46">
        <v>180750</v>
      </c>
      <c r="AB121" s="146"/>
      <c r="AC121" s="45">
        <v>81000</v>
      </c>
      <c r="AD121" s="45">
        <v>164750</v>
      </c>
      <c r="AE121" s="43"/>
      <c r="AF121" s="45"/>
      <c r="AG121" s="45">
        <v>52950</v>
      </c>
      <c r="AH121" s="101">
        <f t="shared" si="9"/>
        <v>0</v>
      </c>
    </row>
    <row r="122" spans="1:34" s="37" customFormat="1" ht="25.5" x14ac:dyDescent="0.2">
      <c r="A122" s="132" t="s">
        <v>144</v>
      </c>
      <c r="B122" s="43"/>
      <c r="C122" s="43"/>
      <c r="D122" s="43">
        <v>19688.03</v>
      </c>
      <c r="E122" s="213"/>
      <c r="F122" s="43"/>
      <c r="G122" s="45"/>
      <c r="H122" s="45"/>
      <c r="I122" s="45"/>
      <c r="J122" s="58">
        <v>19688.04</v>
      </c>
      <c r="K122" s="43"/>
      <c r="L122" s="45"/>
      <c r="M122" s="45"/>
      <c r="N122" s="46"/>
      <c r="O122" s="55"/>
      <c r="P122" s="45"/>
      <c r="Q122" s="55"/>
      <c r="R122" s="58"/>
      <c r="S122" s="43"/>
      <c r="T122" s="6"/>
      <c r="U122" s="6"/>
      <c r="V122" s="6"/>
      <c r="W122" s="6"/>
      <c r="X122" s="24"/>
      <c r="Y122" s="159"/>
      <c r="Z122" s="6"/>
      <c r="AA122" s="24"/>
      <c r="AB122" s="159"/>
      <c r="AC122" s="6"/>
      <c r="AD122" s="6"/>
      <c r="AE122" s="23"/>
      <c r="AF122" s="6"/>
      <c r="AG122" s="6"/>
      <c r="AH122" s="101">
        <f t="shared" si="9"/>
        <v>-1.0000000002037268E-2</v>
      </c>
    </row>
    <row r="123" spans="1:34" s="8" customFormat="1" x14ac:dyDescent="0.2">
      <c r="A123" s="178" t="s">
        <v>228</v>
      </c>
      <c r="B123" s="43"/>
      <c r="C123" s="43"/>
      <c r="D123" s="43"/>
      <c r="E123" s="213"/>
      <c r="F123" s="43"/>
      <c r="G123" s="45"/>
      <c r="H123" s="45"/>
      <c r="I123" s="45">
        <v>0</v>
      </c>
      <c r="J123" s="58"/>
      <c r="K123" s="43"/>
      <c r="L123" s="45"/>
      <c r="M123" s="45">
        <v>35606</v>
      </c>
      <c r="N123" s="46">
        <v>0</v>
      </c>
      <c r="O123" s="55"/>
      <c r="P123" s="45"/>
      <c r="Q123" s="55">
        <v>8820</v>
      </c>
      <c r="R123" s="58">
        <v>44426</v>
      </c>
      <c r="S123" s="43"/>
      <c r="T123" s="45"/>
      <c r="U123" s="45"/>
      <c r="V123" s="45"/>
      <c r="W123" s="45"/>
      <c r="X123" s="46"/>
      <c r="Y123" s="146"/>
      <c r="Z123" s="45"/>
      <c r="AA123" s="46"/>
      <c r="AB123" s="146"/>
      <c r="AC123" s="45"/>
      <c r="AD123" s="45"/>
      <c r="AE123" s="43"/>
      <c r="AF123" s="45"/>
      <c r="AG123" s="45"/>
      <c r="AH123" s="101">
        <f t="shared" si="9"/>
        <v>0</v>
      </c>
    </row>
    <row r="124" spans="1:34" s="8" customFormat="1" x14ac:dyDescent="0.2">
      <c r="A124" s="178" t="s">
        <v>229</v>
      </c>
      <c r="B124" s="43"/>
      <c r="C124" s="43"/>
      <c r="D124" s="43"/>
      <c r="E124" s="213"/>
      <c r="F124" s="43"/>
      <c r="G124" s="45"/>
      <c r="H124" s="45"/>
      <c r="I124" s="45">
        <v>0</v>
      </c>
      <c r="J124" s="58"/>
      <c r="K124" s="43"/>
      <c r="L124" s="45"/>
      <c r="M124" s="45">
        <v>17448</v>
      </c>
      <c r="N124" s="46">
        <v>17448</v>
      </c>
      <c r="O124" s="55"/>
      <c r="P124" s="45"/>
      <c r="Q124" s="55"/>
      <c r="R124" s="58"/>
      <c r="S124" s="43"/>
      <c r="T124" s="45"/>
      <c r="U124" s="45"/>
      <c r="V124" s="45"/>
      <c r="W124" s="45"/>
      <c r="X124" s="46"/>
      <c r="Y124" s="146"/>
      <c r="Z124" s="45"/>
      <c r="AA124" s="46"/>
      <c r="AB124" s="146"/>
      <c r="AC124" s="45"/>
      <c r="AD124" s="45"/>
      <c r="AE124" s="43"/>
      <c r="AF124" s="45"/>
      <c r="AG124" s="45"/>
      <c r="AH124" s="101">
        <f t="shared" si="9"/>
        <v>0</v>
      </c>
    </row>
    <row r="125" spans="1:34" s="8" customFormat="1" x14ac:dyDescent="0.2">
      <c r="A125" s="178" t="s">
        <v>230</v>
      </c>
      <c r="B125" s="43"/>
      <c r="C125" s="43"/>
      <c r="D125" s="43"/>
      <c r="E125" s="213"/>
      <c r="F125" s="43"/>
      <c r="G125" s="45"/>
      <c r="H125" s="45"/>
      <c r="I125" s="45">
        <v>0</v>
      </c>
      <c r="J125" s="58"/>
      <c r="K125" s="43"/>
      <c r="L125" s="45"/>
      <c r="M125" s="45">
        <v>0</v>
      </c>
      <c r="N125" s="46"/>
      <c r="O125" s="55"/>
      <c r="P125" s="45"/>
      <c r="Q125" s="55">
        <v>23000</v>
      </c>
      <c r="R125" s="58">
        <v>23000</v>
      </c>
      <c r="S125" s="43"/>
      <c r="T125" s="45"/>
      <c r="U125" s="45"/>
      <c r="V125" s="45"/>
      <c r="W125" s="45"/>
      <c r="X125" s="46"/>
      <c r="Y125" s="146"/>
      <c r="Z125" s="45"/>
      <c r="AA125" s="46"/>
      <c r="AB125" s="146"/>
      <c r="AC125" s="45"/>
      <c r="AD125" s="45"/>
      <c r="AE125" s="43"/>
      <c r="AF125" s="45"/>
      <c r="AG125" s="45"/>
      <c r="AH125" s="101">
        <f t="shared" si="9"/>
        <v>0</v>
      </c>
    </row>
    <row r="126" spans="1:34" x14ac:dyDescent="0.2">
      <c r="A126" s="20" t="s">
        <v>19</v>
      </c>
      <c r="B126" s="23"/>
      <c r="C126" s="23"/>
      <c r="D126" s="23"/>
      <c r="E126" s="214"/>
      <c r="F126" s="23"/>
      <c r="G126" s="6"/>
      <c r="H126" s="7">
        <v>41000</v>
      </c>
      <c r="I126" s="7"/>
      <c r="J126" s="62"/>
      <c r="K126" s="23"/>
      <c r="L126" s="6"/>
      <c r="M126" s="6"/>
      <c r="N126" s="24"/>
      <c r="O126" s="56"/>
      <c r="P126" s="6"/>
      <c r="Q126" s="56"/>
      <c r="R126" s="59"/>
      <c r="S126" s="23"/>
      <c r="T126" s="6"/>
      <c r="U126" s="6"/>
      <c r="V126" s="6"/>
      <c r="W126" s="6"/>
      <c r="X126" s="24"/>
      <c r="Y126" s="159"/>
      <c r="Z126" s="6"/>
      <c r="AA126" s="24"/>
      <c r="AB126" s="159"/>
      <c r="AC126" s="6"/>
      <c r="AD126" s="6"/>
      <c r="AE126" s="23"/>
      <c r="AF126" s="6"/>
      <c r="AG126" s="6"/>
      <c r="AH126" s="101">
        <f t="shared" si="9"/>
        <v>0</v>
      </c>
    </row>
    <row r="127" spans="1:34" x14ac:dyDescent="0.2">
      <c r="A127" s="20" t="s">
        <v>20</v>
      </c>
      <c r="B127" s="23"/>
      <c r="C127" s="23"/>
      <c r="D127" s="23"/>
      <c r="E127" s="214"/>
      <c r="F127" s="23"/>
      <c r="G127" s="6"/>
      <c r="H127" s="6">
        <v>15000</v>
      </c>
      <c r="I127" s="6"/>
      <c r="J127" s="59"/>
      <c r="K127" s="47"/>
      <c r="L127" s="6">
        <v>119416</v>
      </c>
      <c r="M127" s="6"/>
      <c r="N127" s="24"/>
      <c r="O127" s="56"/>
      <c r="P127" s="6">
        <v>50000</v>
      </c>
      <c r="Q127" s="56"/>
      <c r="R127" s="59"/>
      <c r="S127" s="23"/>
      <c r="T127" s="6"/>
      <c r="U127" s="6"/>
      <c r="V127" s="6"/>
      <c r="W127" s="6"/>
      <c r="X127" s="24"/>
      <c r="Y127" s="159"/>
      <c r="Z127" s="6"/>
      <c r="AA127" s="24"/>
      <c r="AB127" s="159"/>
      <c r="AC127" s="6"/>
      <c r="AD127" s="6"/>
      <c r="AE127" s="23"/>
      <c r="AF127" s="6"/>
      <c r="AG127" s="6"/>
      <c r="AH127" s="101">
        <f t="shared" si="9"/>
        <v>0</v>
      </c>
    </row>
    <row r="128" spans="1:34" ht="25.5" x14ac:dyDescent="0.2">
      <c r="A128" s="18" t="s">
        <v>236</v>
      </c>
      <c r="B128" s="31"/>
      <c r="C128" s="31"/>
      <c r="D128" s="31"/>
      <c r="E128" s="216"/>
      <c r="F128" s="31">
        <v>0</v>
      </c>
      <c r="G128" s="6"/>
      <c r="H128" s="6">
        <v>21700</v>
      </c>
      <c r="I128" s="6"/>
      <c r="J128" s="59"/>
      <c r="K128" s="47"/>
      <c r="L128" s="6"/>
      <c r="M128" s="6"/>
      <c r="N128" s="24"/>
      <c r="O128" s="56"/>
      <c r="P128" s="6"/>
      <c r="Q128" s="56"/>
      <c r="R128" s="59"/>
      <c r="S128" s="23"/>
      <c r="T128" s="6"/>
      <c r="U128" s="6"/>
      <c r="V128" s="6"/>
      <c r="W128" s="6"/>
      <c r="X128" s="24"/>
      <c r="Y128" s="159"/>
      <c r="Z128" s="6"/>
      <c r="AA128" s="24"/>
      <c r="AB128" s="159"/>
      <c r="AC128" s="6"/>
      <c r="AD128" s="6"/>
      <c r="AE128" s="23"/>
      <c r="AF128" s="6"/>
      <c r="AG128" s="6"/>
      <c r="AH128" s="101"/>
    </row>
    <row r="129" spans="1:34" x14ac:dyDescent="0.2">
      <c r="A129" s="20" t="s">
        <v>21</v>
      </c>
      <c r="B129" s="23"/>
      <c r="C129" s="23"/>
      <c r="D129" s="23"/>
      <c r="E129" s="214"/>
      <c r="F129" s="23"/>
      <c r="G129" s="6"/>
      <c r="H129" s="6">
        <v>2000</v>
      </c>
      <c r="I129" s="6"/>
      <c r="J129" s="59"/>
      <c r="K129" s="47"/>
      <c r="L129" s="6">
        <v>22000</v>
      </c>
      <c r="M129" s="6"/>
      <c r="N129" s="24"/>
      <c r="O129" s="56"/>
      <c r="P129" s="6"/>
      <c r="Q129" s="56"/>
      <c r="R129" s="59"/>
      <c r="S129" s="23"/>
      <c r="T129" s="6"/>
      <c r="U129" s="6"/>
      <c r="V129" s="6"/>
      <c r="W129" s="6"/>
      <c r="X129" s="24"/>
      <c r="Y129" s="159"/>
      <c r="Z129" s="6"/>
      <c r="AA129" s="24"/>
      <c r="AB129" s="159"/>
      <c r="AC129" s="6"/>
      <c r="AD129" s="6"/>
      <c r="AE129" s="23"/>
      <c r="AF129" s="6"/>
      <c r="AG129" s="6"/>
      <c r="AH129" s="101">
        <f t="shared" si="9"/>
        <v>0</v>
      </c>
    </row>
    <row r="130" spans="1:34" x14ac:dyDescent="0.2">
      <c r="A130" s="20" t="s">
        <v>22</v>
      </c>
      <c r="B130" s="23"/>
      <c r="C130" s="23"/>
      <c r="D130" s="23"/>
      <c r="E130" s="214"/>
      <c r="F130" s="23"/>
      <c r="G130" s="6"/>
      <c r="H130" s="6">
        <f>1000+2500</f>
        <v>3500</v>
      </c>
      <c r="I130" s="6"/>
      <c r="J130" s="59"/>
      <c r="K130" s="23"/>
      <c r="L130" s="6">
        <f>32500-2500</f>
        <v>30000</v>
      </c>
      <c r="M130" s="6"/>
      <c r="N130" s="24"/>
      <c r="O130" s="56"/>
      <c r="P130" s="6"/>
      <c r="Q130" s="56"/>
      <c r="R130" s="59"/>
      <c r="S130" s="23"/>
      <c r="T130" s="6"/>
      <c r="U130" s="6"/>
      <c r="V130" s="6"/>
      <c r="W130" s="6"/>
      <c r="X130" s="24"/>
      <c r="Y130" s="159"/>
      <c r="Z130" s="6"/>
      <c r="AA130" s="24"/>
      <c r="AB130" s="159"/>
      <c r="AC130" s="6"/>
      <c r="AD130" s="6"/>
      <c r="AE130" s="23"/>
      <c r="AF130" s="6"/>
      <c r="AG130" s="6"/>
      <c r="AH130" s="101">
        <f t="shared" si="9"/>
        <v>0</v>
      </c>
    </row>
    <row r="131" spans="1:34" s="8" customFormat="1" x14ac:dyDescent="0.2">
      <c r="A131" s="17" t="s">
        <v>29</v>
      </c>
      <c r="B131" s="25">
        <f t="shared" ref="B131:N131" si="11">SUM(B120:B130)</f>
        <v>0</v>
      </c>
      <c r="C131" s="25">
        <f t="shared" si="11"/>
        <v>0</v>
      </c>
      <c r="D131" s="25">
        <f t="shared" si="11"/>
        <v>19688.03</v>
      </c>
      <c r="E131" s="142">
        <f t="shared" si="11"/>
        <v>0</v>
      </c>
      <c r="F131" s="199">
        <f t="shared" si="11"/>
        <v>0</v>
      </c>
      <c r="G131" s="191">
        <f t="shared" si="11"/>
        <v>0</v>
      </c>
      <c r="H131" s="191">
        <f t="shared" si="11"/>
        <v>83200</v>
      </c>
      <c r="I131" s="191">
        <f t="shared" si="11"/>
        <v>0</v>
      </c>
      <c r="J131" s="218">
        <f t="shared" si="11"/>
        <v>19688.04</v>
      </c>
      <c r="K131" s="199">
        <f t="shared" si="11"/>
        <v>0</v>
      </c>
      <c r="L131" s="191">
        <f t="shared" si="11"/>
        <v>171416</v>
      </c>
      <c r="M131" s="191">
        <f t="shared" si="11"/>
        <v>53054</v>
      </c>
      <c r="N131" s="200">
        <f t="shared" si="11"/>
        <v>17448</v>
      </c>
      <c r="O131" s="15"/>
      <c r="P131" s="191">
        <f>SUM(P120:P130)</f>
        <v>50000</v>
      </c>
      <c r="Q131" s="15">
        <f>SUM(Q120:Q130)</f>
        <v>96320</v>
      </c>
      <c r="R131" s="60">
        <f>SUM(R120:R130)</f>
        <v>67426</v>
      </c>
      <c r="S131" s="199"/>
      <c r="T131" s="191">
        <f>SUM(T120:T130)</f>
        <v>0</v>
      </c>
      <c r="U131" s="191">
        <f>SUM(U120:U130)</f>
        <v>0</v>
      </c>
      <c r="V131" s="191">
        <f>SUM(V120:V130)</f>
        <v>220500</v>
      </c>
      <c r="W131" s="191">
        <f>SUM(W120:W130)</f>
        <v>64500</v>
      </c>
      <c r="X131" s="200">
        <f>SUM(X120:X130)</f>
        <v>64550</v>
      </c>
      <c r="Y131" s="205"/>
      <c r="Z131" s="191">
        <f t="shared" ref="Z131:AG131" si="12">SUM(Z120:Z130)</f>
        <v>242000</v>
      </c>
      <c r="AA131" s="200">
        <f t="shared" si="12"/>
        <v>261250</v>
      </c>
      <c r="AB131" s="15">
        <f t="shared" si="12"/>
        <v>0</v>
      </c>
      <c r="AC131" s="15">
        <f t="shared" si="12"/>
        <v>81000</v>
      </c>
      <c r="AD131" s="15">
        <f t="shared" si="12"/>
        <v>164750</v>
      </c>
      <c r="AE131" s="15">
        <f t="shared" si="12"/>
        <v>0</v>
      </c>
      <c r="AF131" s="15">
        <f t="shared" si="12"/>
        <v>0</v>
      </c>
      <c r="AG131" s="15">
        <f t="shared" si="12"/>
        <v>52950</v>
      </c>
      <c r="AH131" s="101">
        <f t="shared" si="9"/>
        <v>-1.0000000009313226E-2</v>
      </c>
    </row>
    <row r="132" spans="1:34" s="37" customFormat="1" x14ac:dyDescent="0.2">
      <c r="A132" s="133" t="s">
        <v>109</v>
      </c>
      <c r="B132" s="43"/>
      <c r="C132" s="43"/>
      <c r="D132" s="43"/>
      <c r="E132" s="213"/>
      <c r="F132" s="43"/>
      <c r="G132" s="44"/>
      <c r="H132" s="45"/>
      <c r="I132" s="45"/>
      <c r="J132" s="58"/>
      <c r="K132" s="43"/>
      <c r="L132" s="45"/>
      <c r="M132" s="45"/>
      <c r="N132" s="46"/>
      <c r="O132" s="55"/>
      <c r="P132" s="45"/>
      <c r="Q132" s="55"/>
      <c r="R132" s="58"/>
      <c r="S132" s="43"/>
      <c r="T132" s="45"/>
      <c r="U132" s="45"/>
      <c r="V132" s="45"/>
      <c r="W132" s="45"/>
      <c r="X132" s="46"/>
      <c r="Y132" s="146"/>
      <c r="Z132" s="45"/>
      <c r="AA132" s="46"/>
      <c r="AB132" s="146"/>
      <c r="AC132" s="45"/>
      <c r="AD132" s="45"/>
      <c r="AE132" s="43"/>
      <c r="AF132" s="45"/>
      <c r="AG132" s="45"/>
      <c r="AH132" s="101">
        <f t="shared" si="9"/>
        <v>0</v>
      </c>
    </row>
    <row r="133" spans="1:34" s="37" customFormat="1" x14ac:dyDescent="0.2">
      <c r="A133" s="133" t="s">
        <v>110</v>
      </c>
      <c r="B133" s="43"/>
      <c r="C133" s="43"/>
      <c r="D133" s="43">
        <v>205.7</v>
      </c>
      <c r="E133" s="213"/>
      <c r="F133" s="43"/>
      <c r="G133" s="44"/>
      <c r="H133" s="45"/>
      <c r="I133" s="45">
        <f>13000+106.48</f>
        <v>13106.48</v>
      </c>
      <c r="J133" s="58">
        <v>5000</v>
      </c>
      <c r="K133" s="43"/>
      <c r="L133" s="45"/>
      <c r="M133" s="45">
        <v>30000</v>
      </c>
      <c r="N133" s="46">
        <v>30200</v>
      </c>
      <c r="O133" s="55"/>
      <c r="P133" s="45"/>
      <c r="Q133" s="55">
        <v>2276</v>
      </c>
      <c r="R133" s="58">
        <v>10388</v>
      </c>
      <c r="S133" s="43"/>
      <c r="T133" s="45"/>
      <c r="U133" s="45"/>
      <c r="V133" s="45"/>
      <c r="W133" s="45"/>
      <c r="X133" s="46"/>
      <c r="Y133" s="146"/>
      <c r="Z133" s="45"/>
      <c r="AA133" s="46"/>
      <c r="AB133" s="146"/>
      <c r="AC133" s="45"/>
      <c r="AD133" s="45"/>
      <c r="AE133" s="43"/>
      <c r="AF133" s="45"/>
      <c r="AG133" s="45"/>
      <c r="AH133" s="101">
        <f t="shared" si="9"/>
        <v>0.18000000000029104</v>
      </c>
    </row>
    <row r="134" spans="1:34" s="8" customFormat="1" x14ac:dyDescent="0.2">
      <c r="A134" s="17" t="s">
        <v>32</v>
      </c>
      <c r="B134" s="25">
        <f t="shared" ref="B134:T134" si="13">SUM(B132:B133)</f>
        <v>0</v>
      </c>
      <c r="C134" s="25">
        <f t="shared" si="13"/>
        <v>0</v>
      </c>
      <c r="D134" s="25">
        <f t="shared" si="13"/>
        <v>205.7</v>
      </c>
      <c r="E134" s="142">
        <f t="shared" si="13"/>
        <v>0</v>
      </c>
      <c r="F134" s="199">
        <f t="shared" si="13"/>
        <v>0</v>
      </c>
      <c r="G134" s="191">
        <f t="shared" si="13"/>
        <v>0</v>
      </c>
      <c r="H134" s="191">
        <f t="shared" si="13"/>
        <v>0</v>
      </c>
      <c r="I134" s="191">
        <f t="shared" si="13"/>
        <v>13106.48</v>
      </c>
      <c r="J134" s="218">
        <f t="shared" si="13"/>
        <v>5000</v>
      </c>
      <c r="K134" s="199">
        <f t="shared" si="13"/>
        <v>0</v>
      </c>
      <c r="L134" s="191">
        <f t="shared" si="13"/>
        <v>0</v>
      </c>
      <c r="M134" s="191">
        <f t="shared" si="13"/>
        <v>30000</v>
      </c>
      <c r="N134" s="200">
        <f t="shared" si="13"/>
        <v>30200</v>
      </c>
      <c r="O134" s="15"/>
      <c r="P134" s="191">
        <f t="shared" si="13"/>
        <v>0</v>
      </c>
      <c r="Q134" s="15">
        <f t="shared" si="13"/>
        <v>2276</v>
      </c>
      <c r="R134" s="60">
        <f t="shared" si="13"/>
        <v>10388</v>
      </c>
      <c r="S134" s="199"/>
      <c r="T134" s="191">
        <f t="shared" si="13"/>
        <v>0</v>
      </c>
      <c r="U134" s="191">
        <f>SUM(U132:U133)</f>
        <v>0</v>
      </c>
      <c r="V134" s="191">
        <f t="shared" ref="V134:AG134" si="14">SUM(V132:V133)</f>
        <v>0</v>
      </c>
      <c r="W134" s="191">
        <f t="shared" si="14"/>
        <v>0</v>
      </c>
      <c r="X134" s="200">
        <f t="shared" si="14"/>
        <v>0</v>
      </c>
      <c r="Y134" s="205"/>
      <c r="Z134" s="191">
        <f t="shared" si="14"/>
        <v>0</v>
      </c>
      <c r="AA134" s="200">
        <f t="shared" si="14"/>
        <v>0</v>
      </c>
      <c r="AB134" s="15">
        <f t="shared" si="14"/>
        <v>0</v>
      </c>
      <c r="AC134" s="15">
        <f t="shared" si="14"/>
        <v>0</v>
      </c>
      <c r="AD134" s="15">
        <f t="shared" si="14"/>
        <v>0</v>
      </c>
      <c r="AE134" s="15">
        <f t="shared" si="14"/>
        <v>0</v>
      </c>
      <c r="AF134" s="15">
        <f t="shared" si="14"/>
        <v>0</v>
      </c>
      <c r="AG134" s="15">
        <f t="shared" si="14"/>
        <v>0</v>
      </c>
      <c r="AH134" s="101">
        <f t="shared" si="9"/>
        <v>0.18000000000029104</v>
      </c>
    </row>
    <row r="135" spans="1:34" s="37" customFormat="1" x14ac:dyDescent="0.2">
      <c r="A135" s="125" t="s">
        <v>98</v>
      </c>
      <c r="B135" s="43"/>
      <c r="C135" s="43"/>
      <c r="D135" s="43"/>
      <c r="E135" s="213"/>
      <c r="F135" s="43"/>
      <c r="G135" s="44"/>
      <c r="H135" s="45"/>
      <c r="I135" s="45"/>
      <c r="J135" s="58"/>
      <c r="K135" s="43"/>
      <c r="L135" s="45"/>
      <c r="M135" s="120">
        <v>25700</v>
      </c>
      <c r="N135" s="46">
        <v>0</v>
      </c>
      <c r="O135" s="55"/>
      <c r="P135" s="45"/>
      <c r="Q135" s="124">
        <v>40000</v>
      </c>
      <c r="R135" s="123">
        <v>65700</v>
      </c>
      <c r="S135" s="152"/>
      <c r="T135" s="45"/>
      <c r="U135" s="45"/>
      <c r="V135" s="45"/>
      <c r="W135" s="45"/>
      <c r="X135" s="46"/>
      <c r="Y135" s="146"/>
      <c r="Z135" s="45"/>
      <c r="AA135" s="46"/>
      <c r="AB135" s="146"/>
      <c r="AC135" s="45"/>
      <c r="AD135" s="45"/>
      <c r="AE135" s="43"/>
      <c r="AF135" s="45"/>
      <c r="AG135" s="45"/>
      <c r="AH135" s="101">
        <f t="shared" si="9"/>
        <v>0</v>
      </c>
    </row>
    <row r="136" spans="1:34" s="37" customFormat="1" ht="25.5" x14ac:dyDescent="0.2">
      <c r="A136" s="130" t="s">
        <v>99</v>
      </c>
      <c r="B136" s="43"/>
      <c r="C136" s="43"/>
      <c r="D136" s="43"/>
      <c r="E136" s="213"/>
      <c r="F136" s="43"/>
      <c r="G136" s="44"/>
      <c r="H136" s="45"/>
      <c r="I136" s="45"/>
      <c r="J136" s="58"/>
      <c r="K136" s="43"/>
      <c r="L136" s="45"/>
      <c r="M136" s="45">
        <v>0</v>
      </c>
      <c r="N136" s="46"/>
      <c r="O136" s="55"/>
      <c r="P136" s="45"/>
      <c r="Q136" s="55"/>
      <c r="R136" s="58"/>
      <c r="S136" s="43"/>
      <c r="T136" s="45"/>
      <c r="U136" s="45"/>
      <c r="V136" s="45"/>
      <c r="W136" s="45"/>
      <c r="X136" s="46"/>
      <c r="Y136" s="146"/>
      <c r="Z136" s="45"/>
      <c r="AA136" s="46"/>
      <c r="AB136" s="146"/>
      <c r="AC136" s="45"/>
      <c r="AD136" s="45"/>
      <c r="AE136" s="43"/>
      <c r="AF136" s="45"/>
      <c r="AG136" s="45"/>
      <c r="AH136" s="101">
        <f t="shared" si="9"/>
        <v>0</v>
      </c>
    </row>
    <row r="137" spans="1:34" s="37" customFormat="1" x14ac:dyDescent="0.2">
      <c r="A137" s="125" t="s">
        <v>100</v>
      </c>
      <c r="B137" s="43"/>
      <c r="C137" s="43"/>
      <c r="D137" s="43"/>
      <c r="E137" s="213"/>
      <c r="F137" s="43"/>
      <c r="G137" s="44"/>
      <c r="H137" s="45"/>
      <c r="I137" s="45"/>
      <c r="J137" s="58"/>
      <c r="K137" s="43"/>
      <c r="L137" s="45"/>
      <c r="M137" s="120">
        <v>41800</v>
      </c>
      <c r="N137" s="121">
        <f>20000+2000</f>
        <v>22000</v>
      </c>
      <c r="O137" s="124"/>
      <c r="P137" s="45"/>
      <c r="Q137" s="124">
        <v>42500</v>
      </c>
      <c r="R137" s="123">
        <f>64300-2000</f>
        <v>62300</v>
      </c>
      <c r="S137" s="152"/>
      <c r="T137" s="45"/>
      <c r="U137" s="45"/>
      <c r="V137" s="45"/>
      <c r="W137" s="45"/>
      <c r="X137" s="46"/>
      <c r="Y137" s="146"/>
      <c r="Z137" s="45"/>
      <c r="AA137" s="46"/>
      <c r="AB137" s="146"/>
      <c r="AC137" s="45"/>
      <c r="AD137" s="45"/>
      <c r="AE137" s="43"/>
      <c r="AF137" s="45"/>
      <c r="AG137" s="45"/>
      <c r="AH137" s="101">
        <f t="shared" si="9"/>
        <v>0</v>
      </c>
    </row>
    <row r="138" spans="1:34" s="37" customFormat="1" x14ac:dyDescent="0.2">
      <c r="A138" s="125" t="s">
        <v>210</v>
      </c>
      <c r="B138" s="43"/>
      <c r="C138" s="43"/>
      <c r="D138" s="43"/>
      <c r="E138" s="213"/>
      <c r="F138" s="43"/>
      <c r="G138" s="44"/>
      <c r="H138" s="45"/>
      <c r="I138" s="45"/>
      <c r="J138" s="58"/>
      <c r="K138" s="43"/>
      <c r="L138" s="45"/>
      <c r="M138" s="120"/>
      <c r="N138" s="121"/>
      <c r="O138" s="124"/>
      <c r="P138" s="45"/>
      <c r="Q138" s="124">
        <v>27000</v>
      </c>
      <c r="R138" s="123"/>
      <c r="S138" s="152"/>
      <c r="T138" s="45"/>
      <c r="U138" s="45"/>
      <c r="V138" s="45"/>
      <c r="W138" s="45">
        <v>27000</v>
      </c>
      <c r="X138" s="46"/>
      <c r="Y138" s="146"/>
      <c r="Z138" s="45"/>
      <c r="AA138" s="46"/>
      <c r="AB138" s="146"/>
      <c r="AC138" s="45"/>
      <c r="AD138" s="45"/>
      <c r="AE138" s="43"/>
      <c r="AF138" s="45"/>
      <c r="AG138" s="45"/>
      <c r="AH138" s="101">
        <f t="shared" si="9"/>
        <v>0</v>
      </c>
    </row>
    <row r="139" spans="1:34" x14ac:dyDescent="0.2">
      <c r="A139" s="125" t="s">
        <v>92</v>
      </c>
      <c r="B139" s="23"/>
      <c r="C139" s="23"/>
      <c r="D139" s="23"/>
      <c r="E139" s="214"/>
      <c r="F139" s="23"/>
      <c r="G139" s="6"/>
      <c r="H139" s="6"/>
      <c r="I139" s="6"/>
      <c r="J139" s="59"/>
      <c r="K139" s="23"/>
      <c r="L139" s="6"/>
      <c r="M139" s="6"/>
      <c r="N139" s="24"/>
      <c r="O139" s="56"/>
      <c r="P139" s="6"/>
      <c r="Q139" s="127">
        <v>55000</v>
      </c>
      <c r="R139" s="203"/>
      <c r="S139" s="206"/>
      <c r="T139" s="6"/>
      <c r="U139" s="6"/>
      <c r="V139" s="6">
        <v>97500</v>
      </c>
      <c r="W139" s="6">
        <v>55000</v>
      </c>
      <c r="X139" s="24"/>
      <c r="Y139" s="159"/>
      <c r="Z139" s="6"/>
      <c r="AA139" s="24">
        <v>97500</v>
      </c>
      <c r="AB139" s="159"/>
      <c r="AC139" s="6"/>
      <c r="AD139" s="6"/>
      <c r="AE139" s="23"/>
      <c r="AF139" s="6"/>
      <c r="AG139" s="6"/>
      <c r="AH139" s="101">
        <f t="shared" si="9"/>
        <v>0</v>
      </c>
    </row>
    <row r="140" spans="1:34" s="8" customFormat="1" x14ac:dyDescent="0.2">
      <c r="A140" s="17" t="s">
        <v>93</v>
      </c>
      <c r="B140" s="25">
        <f t="shared" ref="B140:T140" si="15">SUM(B135:B139)</f>
        <v>0</v>
      </c>
      <c r="C140" s="25">
        <f t="shared" si="15"/>
        <v>0</v>
      </c>
      <c r="D140" s="25">
        <f t="shared" si="15"/>
        <v>0</v>
      </c>
      <c r="E140" s="142">
        <f t="shared" si="15"/>
        <v>0</v>
      </c>
      <c r="F140" s="199">
        <f t="shared" si="15"/>
        <v>0</v>
      </c>
      <c r="G140" s="191">
        <f t="shared" si="15"/>
        <v>0</v>
      </c>
      <c r="H140" s="191">
        <f t="shared" si="15"/>
        <v>0</v>
      </c>
      <c r="I140" s="191">
        <f t="shared" si="15"/>
        <v>0</v>
      </c>
      <c r="J140" s="218">
        <f t="shared" si="15"/>
        <v>0</v>
      </c>
      <c r="K140" s="199">
        <f t="shared" si="15"/>
        <v>0</v>
      </c>
      <c r="L140" s="191">
        <f t="shared" si="15"/>
        <v>0</v>
      </c>
      <c r="M140" s="191">
        <f t="shared" si="15"/>
        <v>67500</v>
      </c>
      <c r="N140" s="200">
        <f t="shared" si="15"/>
        <v>22000</v>
      </c>
      <c r="O140" s="200">
        <f t="shared" si="15"/>
        <v>0</v>
      </c>
      <c r="P140" s="191">
        <f t="shared" si="15"/>
        <v>0</v>
      </c>
      <c r="Q140" s="15">
        <f t="shared" si="15"/>
        <v>164500</v>
      </c>
      <c r="R140" s="60">
        <f t="shared" si="15"/>
        <v>128000</v>
      </c>
      <c r="S140" s="199"/>
      <c r="T140" s="191">
        <f t="shared" si="15"/>
        <v>0</v>
      </c>
      <c r="U140" s="191">
        <f>SUM(U135:U139)</f>
        <v>0</v>
      </c>
      <c r="V140" s="191">
        <f t="shared" ref="V140:AG140" si="16">SUM(V135:V139)</f>
        <v>97500</v>
      </c>
      <c r="W140" s="191">
        <f t="shared" si="16"/>
        <v>82000</v>
      </c>
      <c r="X140" s="200">
        <f t="shared" si="16"/>
        <v>0</v>
      </c>
      <c r="Y140" s="205"/>
      <c r="Z140" s="191">
        <f t="shared" si="16"/>
        <v>0</v>
      </c>
      <c r="AA140" s="200">
        <f t="shared" si="16"/>
        <v>97500</v>
      </c>
      <c r="AB140" s="15">
        <f t="shared" si="16"/>
        <v>0</v>
      </c>
      <c r="AC140" s="15">
        <f t="shared" si="16"/>
        <v>0</v>
      </c>
      <c r="AD140" s="15">
        <f t="shared" si="16"/>
        <v>0</v>
      </c>
      <c r="AE140" s="15">
        <f t="shared" si="16"/>
        <v>0</v>
      </c>
      <c r="AF140" s="15">
        <f t="shared" si="16"/>
        <v>0</v>
      </c>
      <c r="AG140" s="15">
        <f t="shared" si="16"/>
        <v>0</v>
      </c>
      <c r="AH140" s="101">
        <f t="shared" si="9"/>
        <v>0</v>
      </c>
    </row>
    <row r="141" spans="1:34" s="37" customFormat="1" x14ac:dyDescent="0.2">
      <c r="A141" s="133" t="s">
        <v>111</v>
      </c>
      <c r="B141" s="43"/>
      <c r="C141" s="43"/>
      <c r="D141" s="43"/>
      <c r="E141" s="213"/>
      <c r="F141" s="43"/>
      <c r="G141" s="44"/>
      <c r="H141" s="45"/>
      <c r="I141" s="45"/>
      <c r="J141" s="58"/>
      <c r="K141" s="43"/>
      <c r="L141" s="45">
        <v>7543</v>
      </c>
      <c r="M141" s="45">
        <v>42000</v>
      </c>
      <c r="N141" s="46"/>
      <c r="O141" s="55"/>
      <c r="P141" s="45">
        <v>28670</v>
      </c>
      <c r="Q141" s="55">
        <v>156000</v>
      </c>
      <c r="R141" s="58">
        <v>198000</v>
      </c>
      <c r="S141" s="43"/>
      <c r="T141" s="45"/>
      <c r="U141" s="45"/>
      <c r="V141" s="45"/>
      <c r="W141" s="45"/>
      <c r="X141" s="46"/>
      <c r="Y141" s="146"/>
      <c r="Z141" s="45"/>
      <c r="AA141" s="46"/>
      <c r="AB141" s="146"/>
      <c r="AC141" s="45"/>
      <c r="AD141" s="45"/>
      <c r="AE141" s="43"/>
      <c r="AF141" s="45"/>
      <c r="AG141" s="45"/>
      <c r="AH141" s="101">
        <f t="shared" si="9"/>
        <v>0</v>
      </c>
    </row>
    <row r="142" spans="1:34" s="8" customFormat="1" x14ac:dyDescent="0.2">
      <c r="A142" s="17" t="s">
        <v>112</v>
      </c>
      <c r="B142" s="1">
        <f t="shared" ref="B142:T142" si="17">SUBTOTAL(9,B141)</f>
        <v>0</v>
      </c>
      <c r="C142" s="1">
        <f t="shared" si="17"/>
        <v>0</v>
      </c>
      <c r="D142" s="1">
        <f t="shared" si="17"/>
        <v>0</v>
      </c>
      <c r="E142" s="60">
        <f t="shared" si="17"/>
        <v>0</v>
      </c>
      <c r="F142" s="199">
        <f t="shared" si="17"/>
        <v>0</v>
      </c>
      <c r="G142" s="191">
        <f t="shared" si="17"/>
        <v>0</v>
      </c>
      <c r="H142" s="191">
        <f t="shared" si="17"/>
        <v>0</v>
      </c>
      <c r="I142" s="191">
        <f t="shared" si="17"/>
        <v>0</v>
      </c>
      <c r="J142" s="218">
        <f t="shared" si="17"/>
        <v>0</v>
      </c>
      <c r="K142" s="199">
        <f t="shared" si="17"/>
        <v>0</v>
      </c>
      <c r="L142" s="191">
        <f t="shared" si="17"/>
        <v>7543</v>
      </c>
      <c r="M142" s="191">
        <f t="shared" si="17"/>
        <v>42000</v>
      </c>
      <c r="N142" s="200">
        <f t="shared" si="17"/>
        <v>0</v>
      </c>
      <c r="O142" s="200">
        <f t="shared" si="17"/>
        <v>0</v>
      </c>
      <c r="P142" s="191">
        <f t="shared" si="17"/>
        <v>28670</v>
      </c>
      <c r="Q142" s="15">
        <f>SUM(Q141)</f>
        <v>156000</v>
      </c>
      <c r="R142" s="60">
        <f t="shared" si="17"/>
        <v>198000</v>
      </c>
      <c r="S142" s="199"/>
      <c r="T142" s="191">
        <f t="shared" si="17"/>
        <v>0</v>
      </c>
      <c r="U142" s="191">
        <f>SUM(U141)</f>
        <v>0</v>
      </c>
      <c r="V142" s="191">
        <f t="shared" ref="V142:AG142" si="18">SUM(V141)</f>
        <v>0</v>
      </c>
      <c r="W142" s="191">
        <f t="shared" si="18"/>
        <v>0</v>
      </c>
      <c r="X142" s="200">
        <f t="shared" si="18"/>
        <v>0</v>
      </c>
      <c r="Y142" s="205"/>
      <c r="Z142" s="191">
        <f t="shared" si="18"/>
        <v>0</v>
      </c>
      <c r="AA142" s="200">
        <f t="shared" si="18"/>
        <v>0</v>
      </c>
      <c r="AB142" s="15">
        <f t="shared" si="18"/>
        <v>0</v>
      </c>
      <c r="AC142" s="15">
        <f t="shared" si="18"/>
        <v>0</v>
      </c>
      <c r="AD142" s="15">
        <f t="shared" si="18"/>
        <v>0</v>
      </c>
      <c r="AE142" s="15">
        <f t="shared" si="18"/>
        <v>0</v>
      </c>
      <c r="AF142" s="15">
        <f t="shared" si="18"/>
        <v>0</v>
      </c>
      <c r="AG142" s="15">
        <f t="shared" si="18"/>
        <v>0</v>
      </c>
      <c r="AH142" s="101">
        <f t="shared" si="9"/>
        <v>0</v>
      </c>
    </row>
    <row r="143" spans="1:34" s="8" customFormat="1" ht="18.75" customHeight="1" thickBot="1" x14ac:dyDescent="0.25">
      <c r="A143" s="73"/>
      <c r="B143" s="74">
        <f t="shared" ref="B143:AG143" si="19">B142+B140+B134+B131+B119+B68+B54+B37</f>
        <v>0</v>
      </c>
      <c r="C143" s="74">
        <f t="shared" si="19"/>
        <v>459878.44561000005</v>
      </c>
      <c r="D143" s="74">
        <f t="shared" si="19"/>
        <v>312288.5</v>
      </c>
      <c r="E143" s="143">
        <f t="shared" si="19"/>
        <v>331976.3</v>
      </c>
      <c r="F143" s="207">
        <f t="shared" si="19"/>
        <v>199479.2</v>
      </c>
      <c r="G143" s="192">
        <f t="shared" si="19"/>
        <v>1028.5999999999999</v>
      </c>
      <c r="H143" s="192">
        <f t="shared" si="19"/>
        <v>590885.6399999999</v>
      </c>
      <c r="I143" s="192">
        <f t="shared" si="19"/>
        <v>410992.55000000005</v>
      </c>
      <c r="J143" s="219">
        <f t="shared" si="19"/>
        <v>476024.62000000005</v>
      </c>
      <c r="K143" s="207">
        <f t="shared" si="19"/>
        <v>22574</v>
      </c>
      <c r="L143" s="192">
        <f t="shared" si="19"/>
        <v>1182830</v>
      </c>
      <c r="M143" s="192">
        <f t="shared" si="19"/>
        <v>1061638.58</v>
      </c>
      <c r="N143" s="208">
        <f t="shared" si="19"/>
        <v>463885</v>
      </c>
      <c r="O143" s="208">
        <f t="shared" si="19"/>
        <v>99700</v>
      </c>
      <c r="P143" s="192">
        <f t="shared" si="19"/>
        <v>959852</v>
      </c>
      <c r="Q143" s="163">
        <f t="shared" si="19"/>
        <v>1295248</v>
      </c>
      <c r="R143" s="143">
        <f t="shared" si="19"/>
        <v>1340575</v>
      </c>
      <c r="S143" s="207">
        <f t="shared" si="19"/>
        <v>75900</v>
      </c>
      <c r="T143" s="192">
        <f t="shared" si="19"/>
        <v>196320</v>
      </c>
      <c r="U143" s="192">
        <f t="shared" si="19"/>
        <v>0</v>
      </c>
      <c r="V143" s="192">
        <f t="shared" si="19"/>
        <v>1664315</v>
      </c>
      <c r="W143" s="192">
        <f t="shared" si="19"/>
        <v>923800</v>
      </c>
      <c r="X143" s="208">
        <f t="shared" si="19"/>
        <v>245400</v>
      </c>
      <c r="Y143" s="201">
        <f t="shared" si="19"/>
        <v>85200</v>
      </c>
      <c r="Z143" s="201">
        <f t="shared" si="19"/>
        <v>1809180</v>
      </c>
      <c r="AA143" s="202">
        <f t="shared" si="19"/>
        <v>1871065</v>
      </c>
      <c r="AB143" s="163">
        <f t="shared" si="19"/>
        <v>0</v>
      </c>
      <c r="AC143" s="74">
        <f t="shared" si="19"/>
        <v>1147600</v>
      </c>
      <c r="AD143" s="74">
        <f t="shared" si="19"/>
        <v>1493380</v>
      </c>
      <c r="AE143" s="74">
        <f t="shared" si="19"/>
        <v>0</v>
      </c>
      <c r="AF143" s="74">
        <f t="shared" si="19"/>
        <v>0</v>
      </c>
      <c r="AG143" s="74">
        <f t="shared" si="19"/>
        <v>1011250</v>
      </c>
      <c r="AH143" s="101">
        <f t="shared" si="9"/>
        <v>3785.155610000249</v>
      </c>
    </row>
    <row r="144" spans="1:34" s="8" customFormat="1" x14ac:dyDescent="0.2">
      <c r="A144" s="2"/>
      <c r="B144" s="29"/>
      <c r="C144" s="29"/>
      <c r="D144" s="29"/>
      <c r="E144" s="29">
        <f>C143+D143-E143</f>
        <v>440190.64561000007</v>
      </c>
      <c r="F144" s="153"/>
      <c r="G144" s="144"/>
      <c r="H144" s="144"/>
      <c r="I144" s="144"/>
      <c r="J144" s="220">
        <f>E144+I143-J143</f>
        <v>375158.57561</v>
      </c>
      <c r="K144" s="153"/>
      <c r="L144" s="144"/>
      <c r="M144" s="144"/>
      <c r="N144" s="154">
        <f>J144+M143-N143</f>
        <v>972912.15561000002</v>
      </c>
      <c r="O144" s="3"/>
      <c r="P144" s="144"/>
      <c r="Q144" s="3"/>
      <c r="R144" s="3">
        <f>N144+Q143-R143</f>
        <v>927585.15560999978</v>
      </c>
      <c r="S144" s="153"/>
      <c r="T144" s="144"/>
      <c r="U144" s="144"/>
      <c r="V144" s="144"/>
      <c r="W144" s="144">
        <f>R144+U143-W143</f>
        <v>3785.1556099997833</v>
      </c>
      <c r="X144" s="154"/>
      <c r="Y144" s="3"/>
      <c r="Z144" s="194"/>
      <c r="AA144" s="195"/>
      <c r="AB144" s="164"/>
      <c r="AC144" s="144"/>
      <c r="AD144" s="144"/>
      <c r="AE144" s="153"/>
      <c r="AF144" s="144"/>
      <c r="AG144" s="144"/>
      <c r="AH144" s="101">
        <f t="shared" si="9"/>
        <v>-2719631.6880499995</v>
      </c>
    </row>
    <row r="145" spans="1:34" s="8" customFormat="1" ht="38.25" x14ac:dyDescent="0.2">
      <c r="A145" s="51" t="s">
        <v>137</v>
      </c>
      <c r="B145" s="66"/>
      <c r="C145" s="66"/>
      <c r="D145" s="66"/>
      <c r="E145" s="217"/>
      <c r="F145" s="66"/>
      <c r="G145" s="67"/>
      <c r="H145" s="67"/>
      <c r="I145" s="67"/>
      <c r="J145" s="68"/>
      <c r="K145" s="66"/>
      <c r="L145" s="67"/>
      <c r="M145" s="67"/>
      <c r="N145" s="69"/>
      <c r="O145" s="70"/>
      <c r="P145" s="67"/>
      <c r="Q145" s="70"/>
      <c r="R145" s="68"/>
      <c r="S145" s="66"/>
      <c r="T145" s="67"/>
      <c r="U145" s="67"/>
      <c r="V145" s="67"/>
      <c r="W145" s="67"/>
      <c r="X145" s="69"/>
      <c r="Y145" s="70"/>
      <c r="Z145" s="66"/>
      <c r="AA145" s="69"/>
      <c r="AB145" s="165"/>
      <c r="AC145" s="67"/>
      <c r="AD145" s="67"/>
      <c r="AE145" s="66"/>
      <c r="AF145" s="67"/>
      <c r="AG145" s="67"/>
      <c r="AH145" s="101">
        <f t="shared" si="9"/>
        <v>0</v>
      </c>
    </row>
    <row r="146" spans="1:34" s="8" customFormat="1" ht="38.25" x14ac:dyDescent="0.2">
      <c r="A146" s="52" t="s">
        <v>117</v>
      </c>
      <c r="B146" s="43"/>
      <c r="C146" s="43"/>
      <c r="D146" s="43">
        <v>4200.32</v>
      </c>
      <c r="E146" s="213">
        <v>0</v>
      </c>
      <c r="F146" s="43"/>
      <c r="G146" s="44"/>
      <c r="H146" s="45"/>
      <c r="I146" s="45"/>
      <c r="J146" s="58">
        <v>4246</v>
      </c>
      <c r="K146" s="43"/>
      <c r="L146" s="45"/>
      <c r="M146" s="45"/>
      <c r="N146" s="46"/>
      <c r="O146" s="55"/>
      <c r="P146" s="45"/>
      <c r="Q146" s="55"/>
      <c r="R146" s="58"/>
      <c r="S146" s="43"/>
      <c r="T146" s="45"/>
      <c r="U146" s="45"/>
      <c r="V146" s="45"/>
      <c r="W146" s="45"/>
      <c r="X146" s="46"/>
      <c r="Y146" s="55"/>
      <c r="Z146" s="43"/>
      <c r="AA146" s="46"/>
      <c r="AB146" s="146"/>
      <c r="AC146" s="45"/>
      <c r="AD146" s="45"/>
      <c r="AE146" s="43"/>
      <c r="AF146" s="45"/>
      <c r="AG146" s="45"/>
      <c r="AH146" s="101">
        <f t="shared" si="9"/>
        <v>-45.680000000000291</v>
      </c>
    </row>
    <row r="147" spans="1:34" s="8" customFormat="1" ht="25.5" x14ac:dyDescent="0.2">
      <c r="A147" s="52" t="s">
        <v>118</v>
      </c>
      <c r="B147" s="43"/>
      <c r="C147" s="43"/>
      <c r="D147" s="43">
        <v>12485.01</v>
      </c>
      <c r="E147" s="213"/>
      <c r="F147" s="43"/>
      <c r="G147" s="44"/>
      <c r="H147" s="45"/>
      <c r="I147" s="45">
        <v>1198.5</v>
      </c>
      <c r="J147" s="58">
        <v>13684</v>
      </c>
      <c r="K147" s="43"/>
      <c r="L147" s="45"/>
      <c r="M147" s="45"/>
      <c r="N147" s="46"/>
      <c r="O147" s="55"/>
      <c r="P147" s="45"/>
      <c r="Q147" s="55"/>
      <c r="R147" s="58"/>
      <c r="S147" s="43"/>
      <c r="T147" s="45"/>
      <c r="U147" s="45"/>
      <c r="V147" s="45"/>
      <c r="W147" s="45"/>
      <c r="X147" s="46"/>
      <c r="Y147" s="55"/>
      <c r="Z147" s="43"/>
      <c r="AA147" s="46"/>
      <c r="AB147" s="146"/>
      <c r="AC147" s="45"/>
      <c r="AD147" s="45"/>
      <c r="AE147" s="43"/>
      <c r="AF147" s="45"/>
      <c r="AG147" s="45"/>
      <c r="AH147" s="101">
        <f t="shared" si="9"/>
        <v>-0.48999999999978172</v>
      </c>
    </row>
    <row r="148" spans="1:34" s="8" customFormat="1" ht="25.5" x14ac:dyDescent="0.2">
      <c r="A148" s="52" t="s">
        <v>119</v>
      </c>
      <c r="B148" s="43"/>
      <c r="C148" s="43"/>
      <c r="D148" s="43">
        <v>731.76</v>
      </c>
      <c r="E148" s="213"/>
      <c r="F148" s="43"/>
      <c r="G148" s="44"/>
      <c r="H148" s="45"/>
      <c r="I148" s="45">
        <v>11.66</v>
      </c>
      <c r="J148" s="58"/>
      <c r="K148" s="43"/>
      <c r="L148" s="45"/>
      <c r="M148" s="45"/>
      <c r="N148" s="46">
        <v>743.42</v>
      </c>
      <c r="O148" s="55"/>
      <c r="P148" s="45"/>
      <c r="Q148" s="55"/>
      <c r="R148" s="58"/>
      <c r="S148" s="43"/>
      <c r="T148" s="45"/>
      <c r="U148" s="45"/>
      <c r="V148" s="45"/>
      <c r="W148" s="45"/>
      <c r="X148" s="46"/>
      <c r="Y148" s="55"/>
      <c r="Z148" s="43"/>
      <c r="AA148" s="46"/>
      <c r="AB148" s="146"/>
      <c r="AC148" s="45"/>
      <c r="AD148" s="45"/>
      <c r="AE148" s="43"/>
      <c r="AF148" s="45"/>
      <c r="AG148" s="45"/>
      <c r="AH148" s="101">
        <f t="shared" si="9"/>
        <v>0</v>
      </c>
    </row>
    <row r="149" spans="1:34" s="8" customFormat="1" ht="25.5" x14ac:dyDescent="0.2">
      <c r="A149" s="53" t="s">
        <v>120</v>
      </c>
      <c r="B149" s="43"/>
      <c r="C149" s="43"/>
      <c r="D149" s="43">
        <v>40663.625010000003</v>
      </c>
      <c r="E149" s="213"/>
      <c r="F149" s="43"/>
      <c r="G149" s="44"/>
      <c r="H149" s="45"/>
      <c r="I149" s="45">
        <v>5605.38</v>
      </c>
      <c r="J149" s="58">
        <v>46269</v>
      </c>
      <c r="K149" s="43"/>
      <c r="L149" s="45"/>
      <c r="M149" s="45"/>
      <c r="N149" s="46"/>
      <c r="O149" s="55"/>
      <c r="P149" s="45"/>
      <c r="Q149" s="55"/>
      <c r="R149" s="58"/>
      <c r="S149" s="43"/>
      <c r="T149" s="45"/>
      <c r="U149" s="45"/>
      <c r="V149" s="45"/>
      <c r="W149" s="45"/>
      <c r="X149" s="46"/>
      <c r="Y149" s="55"/>
      <c r="Z149" s="43"/>
      <c r="AA149" s="46"/>
      <c r="AB149" s="146"/>
      <c r="AC149" s="45"/>
      <c r="AD149" s="45"/>
      <c r="AE149" s="43"/>
      <c r="AF149" s="45"/>
      <c r="AG149" s="45"/>
      <c r="AH149" s="101">
        <f t="shared" si="9"/>
        <v>5.0100000007660128E-3</v>
      </c>
    </row>
    <row r="150" spans="1:34" s="8" customFormat="1" ht="25.5" x14ac:dyDescent="0.2">
      <c r="A150" s="53" t="s">
        <v>121</v>
      </c>
      <c r="B150" s="43"/>
      <c r="C150" s="43"/>
      <c r="D150" s="43">
        <v>0</v>
      </c>
      <c r="E150" s="213"/>
      <c r="F150" s="43"/>
      <c r="G150" s="44"/>
      <c r="H150" s="45"/>
      <c r="I150" s="45">
        <f>29294+22500</f>
        <v>51794</v>
      </c>
      <c r="J150" s="58"/>
      <c r="K150" s="43"/>
      <c r="L150" s="45"/>
      <c r="M150" s="45"/>
      <c r="N150" s="46">
        <v>51794</v>
      </c>
      <c r="O150" s="55"/>
      <c r="P150" s="45"/>
      <c r="Q150" s="55"/>
      <c r="R150" s="58"/>
      <c r="S150" s="43"/>
      <c r="T150" s="45"/>
      <c r="U150" s="45"/>
      <c r="V150" s="45"/>
      <c r="W150" s="45"/>
      <c r="X150" s="46"/>
      <c r="Y150" s="55"/>
      <c r="Z150" s="43"/>
      <c r="AA150" s="46"/>
      <c r="AB150" s="146"/>
      <c r="AC150" s="45"/>
      <c r="AD150" s="45"/>
      <c r="AE150" s="43"/>
      <c r="AF150" s="45"/>
      <c r="AG150" s="45"/>
      <c r="AH150" s="101">
        <f t="shared" si="9"/>
        <v>0</v>
      </c>
    </row>
    <row r="151" spans="1:34" s="8" customFormat="1" ht="25.5" x14ac:dyDescent="0.2">
      <c r="A151" s="53" t="s">
        <v>122</v>
      </c>
      <c r="B151" s="43"/>
      <c r="C151" s="43"/>
      <c r="D151" s="43"/>
      <c r="E151" s="213"/>
      <c r="F151" s="43"/>
      <c r="G151" s="44"/>
      <c r="H151" s="45"/>
      <c r="I151" s="45"/>
      <c r="J151" s="58"/>
      <c r="K151" s="43"/>
      <c r="L151" s="45"/>
      <c r="M151" s="45"/>
      <c r="N151" s="46"/>
      <c r="O151" s="55"/>
      <c r="P151" s="45"/>
      <c r="Q151" s="55"/>
      <c r="R151" s="58"/>
      <c r="S151" s="43"/>
      <c r="T151" s="45"/>
      <c r="U151" s="45"/>
      <c r="V151" s="45"/>
      <c r="W151" s="45"/>
      <c r="X151" s="46"/>
      <c r="Y151" s="55"/>
      <c r="Z151" s="43"/>
      <c r="AA151" s="46"/>
      <c r="AB151" s="146"/>
      <c r="AC151" s="45"/>
      <c r="AD151" s="45"/>
      <c r="AE151" s="43"/>
      <c r="AF151" s="45"/>
      <c r="AG151" s="45"/>
      <c r="AH151" s="101">
        <f t="shared" si="9"/>
        <v>0</v>
      </c>
    </row>
    <row r="152" spans="1:34" s="8" customFormat="1" ht="25.5" x14ac:dyDescent="0.2">
      <c r="A152" s="53" t="s">
        <v>123</v>
      </c>
      <c r="B152" s="43"/>
      <c r="C152" s="43"/>
      <c r="D152" s="43"/>
      <c r="E152" s="213"/>
      <c r="F152" s="43"/>
      <c r="G152" s="44"/>
      <c r="H152" s="45"/>
      <c r="I152" s="45"/>
      <c r="J152" s="58"/>
      <c r="K152" s="43"/>
      <c r="L152" s="45"/>
      <c r="M152" s="45"/>
      <c r="N152" s="46"/>
      <c r="O152" s="55"/>
      <c r="P152" s="45"/>
      <c r="Q152" s="55"/>
      <c r="R152" s="58"/>
      <c r="S152" s="43"/>
      <c r="T152" s="45"/>
      <c r="U152" s="45"/>
      <c r="V152" s="45"/>
      <c r="W152" s="45"/>
      <c r="X152" s="46"/>
      <c r="Y152" s="55"/>
      <c r="Z152" s="43"/>
      <c r="AA152" s="46"/>
      <c r="AB152" s="146"/>
      <c r="AC152" s="45"/>
      <c r="AD152" s="45"/>
      <c r="AE152" s="43"/>
      <c r="AF152" s="45"/>
      <c r="AG152" s="45"/>
      <c r="AH152" s="101">
        <f t="shared" si="9"/>
        <v>0</v>
      </c>
    </row>
    <row r="153" spans="1:34" s="8" customFormat="1" ht="25.5" x14ac:dyDescent="0.2">
      <c r="A153" s="53" t="s">
        <v>124</v>
      </c>
      <c r="B153" s="43"/>
      <c r="C153" s="43"/>
      <c r="D153" s="43"/>
      <c r="E153" s="213"/>
      <c r="F153" s="43"/>
      <c r="G153" s="44"/>
      <c r="H153" s="45"/>
      <c r="I153" s="45"/>
      <c r="J153" s="58"/>
      <c r="K153" s="43"/>
      <c r="L153" s="45"/>
      <c r="M153" s="45"/>
      <c r="N153" s="46"/>
      <c r="O153" s="55"/>
      <c r="P153" s="45"/>
      <c r="Q153" s="55"/>
      <c r="R153" s="58"/>
      <c r="S153" s="43"/>
      <c r="T153" s="45"/>
      <c r="U153" s="45"/>
      <c r="V153" s="45"/>
      <c r="W153" s="45"/>
      <c r="X153" s="46"/>
      <c r="Y153" s="55"/>
      <c r="Z153" s="43"/>
      <c r="AA153" s="46"/>
      <c r="AB153" s="146"/>
      <c r="AC153" s="45"/>
      <c r="AD153" s="45"/>
      <c r="AE153" s="43"/>
      <c r="AF153" s="45"/>
      <c r="AG153" s="45"/>
      <c r="AH153" s="101">
        <f t="shared" si="9"/>
        <v>0</v>
      </c>
    </row>
    <row r="154" spans="1:34" s="8" customFormat="1" ht="25.5" x14ac:dyDescent="0.2">
      <c r="A154" s="53" t="s">
        <v>125</v>
      </c>
      <c r="B154" s="43"/>
      <c r="C154" s="43"/>
      <c r="D154" s="43"/>
      <c r="E154" s="213"/>
      <c r="F154" s="43"/>
      <c r="G154" s="44"/>
      <c r="H154" s="45"/>
      <c r="I154" s="45"/>
      <c r="J154" s="58"/>
      <c r="K154" s="43"/>
      <c r="L154" s="45"/>
      <c r="M154" s="45"/>
      <c r="N154" s="46"/>
      <c r="O154" s="55"/>
      <c r="P154" s="45"/>
      <c r="Q154" s="55"/>
      <c r="R154" s="58"/>
      <c r="S154" s="43"/>
      <c r="T154" s="45"/>
      <c r="U154" s="45"/>
      <c r="V154" s="45"/>
      <c r="W154" s="45"/>
      <c r="X154" s="46"/>
      <c r="Y154" s="55"/>
      <c r="Z154" s="43"/>
      <c r="AA154" s="46"/>
      <c r="AB154" s="146"/>
      <c r="AC154" s="45"/>
      <c r="AD154" s="45"/>
      <c r="AE154" s="43"/>
      <c r="AF154" s="45"/>
      <c r="AG154" s="45"/>
      <c r="AH154" s="101">
        <f t="shared" si="9"/>
        <v>0</v>
      </c>
    </row>
    <row r="155" spans="1:34" s="8" customFormat="1" ht="25.5" x14ac:dyDescent="0.2">
      <c r="A155" s="53" t="s">
        <v>126</v>
      </c>
      <c r="B155" s="43"/>
      <c r="C155" s="43"/>
      <c r="D155" s="43"/>
      <c r="E155" s="213"/>
      <c r="F155" s="43"/>
      <c r="G155" s="44"/>
      <c r="H155" s="45"/>
      <c r="I155" s="45"/>
      <c r="J155" s="58"/>
      <c r="K155" s="43"/>
      <c r="L155" s="45"/>
      <c r="M155" s="45"/>
      <c r="N155" s="46"/>
      <c r="O155" s="55"/>
      <c r="P155" s="45"/>
      <c r="Q155" s="55"/>
      <c r="R155" s="58"/>
      <c r="S155" s="43"/>
      <c r="T155" s="45"/>
      <c r="U155" s="45"/>
      <c r="V155" s="45"/>
      <c r="W155" s="45"/>
      <c r="X155" s="46"/>
      <c r="Y155" s="55"/>
      <c r="Z155" s="43"/>
      <c r="AA155" s="46"/>
      <c r="AB155" s="146"/>
      <c r="AC155" s="45"/>
      <c r="AD155" s="45"/>
      <c r="AE155" s="43"/>
      <c r="AF155" s="45"/>
      <c r="AG155" s="45"/>
      <c r="AH155" s="101">
        <f t="shared" si="9"/>
        <v>0</v>
      </c>
    </row>
    <row r="156" spans="1:34" s="8" customFormat="1" ht="38.25" x14ac:dyDescent="0.2">
      <c r="A156" s="53" t="s">
        <v>127</v>
      </c>
      <c r="B156" s="43"/>
      <c r="C156" s="43"/>
      <c r="D156" s="43"/>
      <c r="E156" s="213"/>
      <c r="F156" s="43"/>
      <c r="G156" s="44"/>
      <c r="H156" s="45"/>
      <c r="I156" s="45"/>
      <c r="J156" s="58"/>
      <c r="K156" s="43"/>
      <c r="L156" s="45"/>
      <c r="M156" s="45"/>
      <c r="N156" s="46"/>
      <c r="O156" s="55"/>
      <c r="P156" s="45"/>
      <c r="Q156" s="55"/>
      <c r="R156" s="58"/>
      <c r="S156" s="43"/>
      <c r="T156" s="45"/>
      <c r="U156" s="45"/>
      <c r="V156" s="45"/>
      <c r="W156" s="45"/>
      <c r="X156" s="46"/>
      <c r="Y156" s="55"/>
      <c r="Z156" s="43"/>
      <c r="AA156" s="46"/>
      <c r="AB156" s="146"/>
      <c r="AC156" s="45"/>
      <c r="AD156" s="45"/>
      <c r="AE156" s="43"/>
      <c r="AF156" s="45"/>
      <c r="AG156" s="45"/>
      <c r="AH156" s="101">
        <f t="shared" si="9"/>
        <v>0</v>
      </c>
    </row>
    <row r="157" spans="1:34" s="8" customFormat="1" ht="25.5" x14ac:dyDescent="0.2">
      <c r="A157" s="54" t="s">
        <v>128</v>
      </c>
      <c r="B157" s="43"/>
      <c r="C157" s="43"/>
      <c r="D157" s="43"/>
      <c r="E157" s="213"/>
      <c r="F157" s="43"/>
      <c r="G157" s="44"/>
      <c r="H157" s="45"/>
      <c r="I157" s="45"/>
      <c r="J157" s="58"/>
      <c r="K157" s="43"/>
      <c r="L157" s="45"/>
      <c r="M157" s="45"/>
      <c r="N157" s="46"/>
      <c r="O157" s="55"/>
      <c r="P157" s="45"/>
      <c r="Q157" s="55"/>
      <c r="R157" s="58"/>
      <c r="S157" s="43"/>
      <c r="T157" s="45"/>
      <c r="U157" s="45"/>
      <c r="V157" s="45"/>
      <c r="W157" s="45"/>
      <c r="X157" s="46"/>
      <c r="Y157" s="55"/>
      <c r="Z157" s="43"/>
      <c r="AA157" s="46"/>
      <c r="AB157" s="146"/>
      <c r="AC157" s="45"/>
      <c r="AD157" s="45"/>
      <c r="AE157" s="43"/>
      <c r="AF157" s="45"/>
      <c r="AG157" s="45"/>
      <c r="AH157" s="101">
        <f t="shared" si="9"/>
        <v>0</v>
      </c>
    </row>
    <row r="158" spans="1:34" s="8" customFormat="1" x14ac:dyDescent="0.2">
      <c r="A158" s="50" t="s">
        <v>129</v>
      </c>
      <c r="B158" s="43"/>
      <c r="C158" s="43"/>
      <c r="D158" s="43">
        <v>0</v>
      </c>
      <c r="E158" s="213"/>
      <c r="F158" s="43"/>
      <c r="G158" s="44"/>
      <c r="H158" s="45"/>
      <c r="I158" s="45"/>
      <c r="J158" s="58"/>
      <c r="K158" s="43"/>
      <c r="L158" s="45"/>
      <c r="M158" s="45"/>
      <c r="N158" s="46"/>
      <c r="O158" s="55"/>
      <c r="P158" s="45"/>
      <c r="Q158" s="55"/>
      <c r="R158" s="58"/>
      <c r="S158" s="43"/>
      <c r="T158" s="45"/>
      <c r="U158" s="45"/>
      <c r="V158" s="45"/>
      <c r="W158" s="45"/>
      <c r="X158" s="46"/>
      <c r="Y158" s="55"/>
      <c r="Z158" s="43"/>
      <c r="AA158" s="46"/>
      <c r="AB158" s="146"/>
      <c r="AC158" s="45"/>
      <c r="AD158" s="45"/>
      <c r="AE158" s="43"/>
      <c r="AF158" s="45"/>
      <c r="AG158" s="45"/>
      <c r="AH158" s="101">
        <f t="shared" si="9"/>
        <v>0</v>
      </c>
    </row>
    <row r="159" spans="1:34" s="8" customFormat="1" x14ac:dyDescent="0.2">
      <c r="A159" s="50" t="s">
        <v>130</v>
      </c>
      <c r="B159" s="43"/>
      <c r="C159" s="43"/>
      <c r="D159" s="43">
        <v>24827.701499999999</v>
      </c>
      <c r="E159" s="213">
        <v>24827.701499999999</v>
      </c>
      <c r="F159" s="43"/>
      <c r="G159" s="44"/>
      <c r="H159" s="45"/>
      <c r="I159" s="45"/>
      <c r="J159" s="58"/>
      <c r="K159" s="43"/>
      <c r="L159" s="45"/>
      <c r="M159" s="45"/>
      <c r="N159" s="46"/>
      <c r="O159" s="55"/>
      <c r="P159" s="45"/>
      <c r="Q159" s="55"/>
      <c r="R159" s="58"/>
      <c r="S159" s="43"/>
      <c r="T159" s="45"/>
      <c r="U159" s="45"/>
      <c r="V159" s="45"/>
      <c r="W159" s="45"/>
      <c r="X159" s="46"/>
      <c r="Y159" s="55"/>
      <c r="Z159" s="43"/>
      <c r="AA159" s="46"/>
      <c r="AB159" s="146"/>
      <c r="AC159" s="45"/>
      <c r="AD159" s="45"/>
      <c r="AE159" s="43"/>
      <c r="AF159" s="45"/>
      <c r="AG159" s="45"/>
      <c r="AH159" s="101">
        <f t="shared" si="9"/>
        <v>0</v>
      </c>
    </row>
    <row r="160" spans="1:34" s="8" customFormat="1" x14ac:dyDescent="0.2">
      <c r="A160" s="50" t="s">
        <v>131</v>
      </c>
      <c r="B160" s="43"/>
      <c r="C160" s="43"/>
      <c r="D160" s="43">
        <v>27000</v>
      </c>
      <c r="E160" s="213"/>
      <c r="F160" s="43"/>
      <c r="G160" s="44"/>
      <c r="H160" s="45"/>
      <c r="I160" s="45"/>
      <c r="J160" s="58">
        <v>27000</v>
      </c>
      <c r="K160" s="43"/>
      <c r="L160" s="45"/>
      <c r="M160" s="45"/>
      <c r="N160" s="46"/>
      <c r="O160" s="55"/>
      <c r="P160" s="45"/>
      <c r="Q160" s="55"/>
      <c r="R160" s="58"/>
      <c r="S160" s="43"/>
      <c r="T160" s="45"/>
      <c r="U160" s="45"/>
      <c r="V160" s="45"/>
      <c r="W160" s="45"/>
      <c r="X160" s="46"/>
      <c r="Y160" s="55"/>
      <c r="Z160" s="43"/>
      <c r="AA160" s="46"/>
      <c r="AB160" s="146"/>
      <c r="AC160" s="45"/>
      <c r="AD160" s="45"/>
      <c r="AE160" s="43"/>
      <c r="AF160" s="45"/>
      <c r="AG160" s="45"/>
      <c r="AH160" s="101">
        <f t="shared" si="9"/>
        <v>0</v>
      </c>
    </row>
    <row r="161" spans="1:34" s="8" customFormat="1" x14ac:dyDescent="0.2">
      <c r="A161" s="50" t="s">
        <v>132</v>
      </c>
      <c r="B161" s="43"/>
      <c r="C161" s="43">
        <v>24350.584500000001</v>
      </c>
      <c r="D161" s="43">
        <v>0</v>
      </c>
      <c r="E161" s="213">
        <v>24350.584500000001</v>
      </c>
      <c r="F161" s="43"/>
      <c r="G161" s="44"/>
      <c r="H161" s="45"/>
      <c r="I161" s="45"/>
      <c r="J161" s="58"/>
      <c r="K161" s="43"/>
      <c r="L161" s="45"/>
      <c r="M161" s="45"/>
      <c r="N161" s="46"/>
      <c r="O161" s="55"/>
      <c r="P161" s="45"/>
      <c r="Q161" s="55"/>
      <c r="R161" s="58"/>
      <c r="S161" s="43"/>
      <c r="T161" s="45"/>
      <c r="U161" s="45"/>
      <c r="V161" s="45"/>
      <c r="W161" s="45"/>
      <c r="X161" s="46"/>
      <c r="Y161" s="55"/>
      <c r="Z161" s="43"/>
      <c r="AA161" s="46"/>
      <c r="AB161" s="146"/>
      <c r="AC161" s="45"/>
      <c r="AD161" s="45"/>
      <c r="AE161" s="43"/>
      <c r="AF161" s="45"/>
      <c r="AG161" s="45"/>
      <c r="AH161" s="101">
        <f t="shared" si="9"/>
        <v>0</v>
      </c>
    </row>
    <row r="162" spans="1:34" s="8" customFormat="1" x14ac:dyDescent="0.2">
      <c r="A162" s="50" t="s">
        <v>133</v>
      </c>
      <c r="B162" s="43"/>
      <c r="C162" s="43"/>
      <c r="D162" s="43">
        <v>10219.720499999999</v>
      </c>
      <c r="E162" s="213"/>
      <c r="F162" s="43"/>
      <c r="G162" s="44"/>
      <c r="H162" s="45"/>
      <c r="I162" s="45"/>
      <c r="J162" s="58">
        <f>10351-131.17</f>
        <v>10219.83</v>
      </c>
      <c r="K162" s="43"/>
      <c r="L162" s="45"/>
      <c r="M162" s="45"/>
      <c r="N162" s="46"/>
      <c r="O162" s="55"/>
      <c r="P162" s="45"/>
      <c r="Q162" s="55"/>
      <c r="R162" s="58"/>
      <c r="S162" s="43"/>
      <c r="T162" s="45"/>
      <c r="U162" s="45"/>
      <c r="V162" s="45"/>
      <c r="W162" s="45"/>
      <c r="X162" s="46"/>
      <c r="Y162" s="55"/>
      <c r="Z162" s="43"/>
      <c r="AA162" s="46"/>
      <c r="AB162" s="146"/>
      <c r="AC162" s="45"/>
      <c r="AD162" s="45"/>
      <c r="AE162" s="43"/>
      <c r="AF162" s="45"/>
      <c r="AG162" s="45"/>
      <c r="AH162" s="101">
        <f t="shared" si="9"/>
        <v>-0.10950000000048021</v>
      </c>
    </row>
    <row r="163" spans="1:34" s="8" customFormat="1" x14ac:dyDescent="0.2">
      <c r="A163" s="50" t="s">
        <v>134</v>
      </c>
      <c r="B163" s="43"/>
      <c r="C163" s="43"/>
      <c r="D163" s="43">
        <v>0</v>
      </c>
      <c r="E163" s="213"/>
      <c r="F163" s="43"/>
      <c r="G163" s="44"/>
      <c r="H163" s="45"/>
      <c r="I163" s="45">
        <v>20169</v>
      </c>
      <c r="J163" s="58">
        <v>20169</v>
      </c>
      <c r="K163" s="43"/>
      <c r="L163" s="45"/>
      <c r="M163" s="45"/>
      <c r="N163" s="46"/>
      <c r="O163" s="55"/>
      <c r="P163" s="45"/>
      <c r="Q163" s="55"/>
      <c r="R163" s="58"/>
      <c r="S163" s="43"/>
      <c r="T163" s="45"/>
      <c r="U163" s="45"/>
      <c r="V163" s="45"/>
      <c r="W163" s="45"/>
      <c r="X163" s="46"/>
      <c r="Y163" s="55"/>
      <c r="Z163" s="43"/>
      <c r="AA163" s="46"/>
      <c r="AB163" s="146"/>
      <c r="AC163" s="45"/>
      <c r="AD163" s="45"/>
      <c r="AE163" s="43"/>
      <c r="AF163" s="45"/>
      <c r="AG163" s="45"/>
      <c r="AH163" s="101">
        <f t="shared" si="9"/>
        <v>0</v>
      </c>
    </row>
    <row r="164" spans="1:34" s="8" customFormat="1" ht="38.25" x14ac:dyDescent="0.2">
      <c r="A164" s="54" t="s">
        <v>135</v>
      </c>
      <c r="B164" s="43"/>
      <c r="C164" s="43"/>
      <c r="D164" s="43"/>
      <c r="E164" s="213"/>
      <c r="F164" s="43"/>
      <c r="G164" s="44"/>
      <c r="H164" s="45"/>
      <c r="I164" s="45"/>
      <c r="J164" s="58"/>
      <c r="K164" s="43"/>
      <c r="L164" s="45"/>
      <c r="M164" s="45"/>
      <c r="N164" s="46"/>
      <c r="O164" s="55"/>
      <c r="P164" s="45"/>
      <c r="Q164" s="55"/>
      <c r="R164" s="58"/>
      <c r="S164" s="43"/>
      <c r="T164" s="45"/>
      <c r="U164" s="45"/>
      <c r="V164" s="45"/>
      <c r="W164" s="45"/>
      <c r="X164" s="46"/>
      <c r="Y164" s="55"/>
      <c r="Z164" s="43"/>
      <c r="AA164" s="46"/>
      <c r="AB164" s="146"/>
      <c r="AC164" s="45"/>
      <c r="AD164" s="45"/>
      <c r="AE164" s="43"/>
      <c r="AF164" s="45"/>
      <c r="AG164" s="45"/>
      <c r="AH164" s="101">
        <f t="shared" si="9"/>
        <v>0</v>
      </c>
    </row>
    <row r="165" spans="1:34" s="8" customFormat="1" x14ac:dyDescent="0.2">
      <c r="A165" s="50" t="s">
        <v>130</v>
      </c>
      <c r="B165" s="43"/>
      <c r="C165" s="43"/>
      <c r="D165" s="43">
        <v>2471.8014000000003</v>
      </c>
      <c r="E165" s="213"/>
      <c r="F165" s="43"/>
      <c r="G165" s="44"/>
      <c r="H165" s="45"/>
      <c r="I165" s="45">
        <v>0</v>
      </c>
      <c r="J165" s="58">
        <v>2471.8013999999998</v>
      </c>
      <c r="K165" s="43"/>
      <c r="L165" s="45"/>
      <c r="M165" s="45"/>
      <c r="N165" s="46"/>
      <c r="O165" s="55"/>
      <c r="P165" s="45"/>
      <c r="Q165" s="55"/>
      <c r="R165" s="58"/>
      <c r="S165" s="43"/>
      <c r="T165" s="45"/>
      <c r="U165" s="45"/>
      <c r="V165" s="45"/>
      <c r="W165" s="45"/>
      <c r="X165" s="46"/>
      <c r="Y165" s="55"/>
      <c r="Z165" s="43"/>
      <c r="AA165" s="46"/>
      <c r="AB165" s="146"/>
      <c r="AC165" s="45"/>
      <c r="AD165" s="45"/>
      <c r="AE165" s="43"/>
      <c r="AF165" s="45"/>
      <c r="AG165" s="45"/>
      <c r="AH165" s="101">
        <f t="shared" si="9"/>
        <v>4.5474735088646412E-13</v>
      </c>
    </row>
    <row r="166" spans="1:34" s="8" customFormat="1" x14ac:dyDescent="0.2">
      <c r="A166" s="50" t="s">
        <v>131</v>
      </c>
      <c r="B166" s="43"/>
      <c r="C166" s="43"/>
      <c r="D166" s="43">
        <v>5671.7503100000004</v>
      </c>
      <c r="E166" s="213"/>
      <c r="F166" s="43"/>
      <c r="G166" s="44"/>
      <c r="H166" s="45"/>
      <c r="I166" s="45">
        <v>0</v>
      </c>
      <c r="J166" s="58">
        <v>5671.7503100000004</v>
      </c>
      <c r="K166" s="43"/>
      <c r="L166" s="45"/>
      <c r="M166" s="45"/>
      <c r="N166" s="46"/>
      <c r="O166" s="55"/>
      <c r="P166" s="45"/>
      <c r="Q166" s="55"/>
      <c r="R166" s="58"/>
      <c r="S166" s="43"/>
      <c r="T166" s="45"/>
      <c r="U166" s="45"/>
      <c r="V166" s="45"/>
      <c r="W166" s="45"/>
      <c r="X166" s="46"/>
      <c r="Y166" s="55"/>
      <c r="Z166" s="43"/>
      <c r="AA166" s="46"/>
      <c r="AB166" s="146"/>
      <c r="AC166" s="45"/>
      <c r="AD166" s="45"/>
      <c r="AE166" s="43"/>
      <c r="AF166" s="45"/>
      <c r="AG166" s="45"/>
      <c r="AH166" s="101">
        <f t="shared" si="9"/>
        <v>0</v>
      </c>
    </row>
    <row r="167" spans="1:34" s="8" customFormat="1" x14ac:dyDescent="0.2">
      <c r="A167" s="50" t="s">
        <v>132</v>
      </c>
      <c r="B167" s="43"/>
      <c r="C167" s="43"/>
      <c r="D167" s="43">
        <v>6694.4742200000001</v>
      </c>
      <c r="E167" s="213">
        <v>1111.8689999999999</v>
      </c>
      <c r="F167" s="43"/>
      <c r="G167" s="44"/>
      <c r="H167" s="45"/>
      <c r="I167" s="45">
        <v>0</v>
      </c>
      <c r="J167" s="58">
        <v>5582.6052200000004</v>
      </c>
      <c r="K167" s="43"/>
      <c r="L167" s="45"/>
      <c r="M167" s="45"/>
      <c r="N167" s="46"/>
      <c r="O167" s="55"/>
      <c r="P167" s="45"/>
      <c r="Q167" s="55"/>
      <c r="R167" s="58"/>
      <c r="S167" s="43"/>
      <c r="T167" s="45"/>
      <c r="U167" s="45"/>
      <c r="V167" s="45"/>
      <c r="W167" s="45"/>
      <c r="X167" s="46"/>
      <c r="Y167" s="55"/>
      <c r="Z167" s="43"/>
      <c r="AA167" s="46"/>
      <c r="AB167" s="146"/>
      <c r="AC167" s="45"/>
      <c r="AD167" s="45"/>
      <c r="AE167" s="43"/>
      <c r="AF167" s="45"/>
      <c r="AG167" s="45"/>
      <c r="AH167" s="101">
        <f t="shared" si="9"/>
        <v>0</v>
      </c>
    </row>
    <row r="168" spans="1:34" s="8" customFormat="1" x14ac:dyDescent="0.2">
      <c r="A168" s="50" t="s">
        <v>133</v>
      </c>
      <c r="B168" s="43"/>
      <c r="C168" s="43"/>
      <c r="D168" s="43">
        <v>59.442999999999998</v>
      </c>
      <c r="E168" s="213"/>
      <c r="F168" s="43"/>
      <c r="G168" s="44"/>
      <c r="H168" s="45"/>
      <c r="I168" s="45">
        <v>3635.3399999999992</v>
      </c>
      <c r="J168" s="58">
        <v>3694.7749899999999</v>
      </c>
      <c r="K168" s="43"/>
      <c r="L168" s="45"/>
      <c r="M168" s="45"/>
      <c r="N168" s="46"/>
      <c r="O168" s="55"/>
      <c r="P168" s="45"/>
      <c r="Q168" s="55"/>
      <c r="R168" s="58"/>
      <c r="S168" s="43"/>
      <c r="T168" s="45"/>
      <c r="U168" s="45"/>
      <c r="V168" s="45"/>
      <c r="W168" s="45"/>
      <c r="X168" s="46"/>
      <c r="Y168" s="55"/>
      <c r="Z168" s="43"/>
      <c r="AA168" s="46"/>
      <c r="AB168" s="146"/>
      <c r="AC168" s="45"/>
      <c r="AD168" s="45"/>
      <c r="AE168" s="43"/>
      <c r="AF168" s="45"/>
      <c r="AG168" s="45"/>
      <c r="AH168" s="101">
        <f t="shared" si="9"/>
        <v>8.0099999995582039E-3</v>
      </c>
    </row>
    <row r="169" spans="1:34" s="8" customFormat="1" x14ac:dyDescent="0.2">
      <c r="A169" s="50" t="s">
        <v>134</v>
      </c>
      <c r="B169" s="43"/>
      <c r="C169" s="43"/>
      <c r="D169" s="43">
        <v>0</v>
      </c>
      <c r="E169" s="213"/>
      <c r="F169" s="43"/>
      <c r="G169" s="44"/>
      <c r="H169" s="45"/>
      <c r="I169" s="45">
        <v>5646.56</v>
      </c>
      <c r="J169" s="58">
        <v>5646.5445</v>
      </c>
      <c r="K169" s="43"/>
      <c r="L169" s="45"/>
      <c r="M169" s="45"/>
      <c r="N169" s="46"/>
      <c r="O169" s="55"/>
      <c r="P169" s="45"/>
      <c r="Q169" s="55"/>
      <c r="R169" s="58"/>
      <c r="S169" s="43"/>
      <c r="T169" s="45"/>
      <c r="U169" s="45"/>
      <c r="V169" s="45"/>
      <c r="W169" s="45"/>
      <c r="X169" s="46"/>
      <c r="Y169" s="55"/>
      <c r="Z169" s="43"/>
      <c r="AA169" s="46"/>
      <c r="AB169" s="146"/>
      <c r="AC169" s="45"/>
      <c r="AD169" s="45"/>
      <c r="AE169" s="43"/>
      <c r="AF169" s="45"/>
      <c r="AG169" s="45"/>
      <c r="AH169" s="101">
        <f t="shared" si="9"/>
        <v>1.5500000000429281E-2</v>
      </c>
    </row>
    <row r="170" spans="1:34" s="8" customFormat="1" ht="25.5" x14ac:dyDescent="0.2">
      <c r="A170" s="53" t="s">
        <v>136</v>
      </c>
      <c r="B170" s="43"/>
      <c r="C170" s="43"/>
      <c r="D170" s="43">
        <v>13583.414140000001</v>
      </c>
      <c r="E170" s="213"/>
      <c r="F170" s="43"/>
      <c r="G170" s="44"/>
      <c r="H170" s="45"/>
      <c r="I170" s="45">
        <f>3516.58-3516.58</f>
        <v>0</v>
      </c>
      <c r="J170" s="58">
        <f>17100-3516.58</f>
        <v>13583.42</v>
      </c>
      <c r="K170" s="43"/>
      <c r="L170" s="45"/>
      <c r="M170" s="45"/>
      <c r="N170" s="46"/>
      <c r="O170" s="55"/>
      <c r="P170" s="45"/>
      <c r="Q170" s="55"/>
      <c r="R170" s="58"/>
      <c r="S170" s="43"/>
      <c r="T170" s="45"/>
      <c r="U170" s="45"/>
      <c r="V170" s="45"/>
      <c r="W170" s="45"/>
      <c r="X170" s="46"/>
      <c r="Y170" s="55"/>
      <c r="Z170" s="43"/>
      <c r="AA170" s="46"/>
      <c r="AB170" s="146"/>
      <c r="AC170" s="45"/>
      <c r="AD170" s="45"/>
      <c r="AE170" s="43"/>
      <c r="AF170" s="45"/>
      <c r="AG170" s="45"/>
      <c r="AH170" s="101">
        <f t="shared" si="9"/>
        <v>-5.8599999993020901E-3</v>
      </c>
    </row>
    <row r="171" spans="1:34" s="8" customFormat="1" ht="25.5" x14ac:dyDescent="0.2">
      <c r="A171" s="53" t="s">
        <v>153</v>
      </c>
      <c r="B171" s="43"/>
      <c r="C171" s="43"/>
      <c r="D171" s="43"/>
      <c r="E171" s="213"/>
      <c r="F171" s="43"/>
      <c r="G171" s="44"/>
      <c r="H171" s="45"/>
      <c r="I171" s="45">
        <v>5053.58</v>
      </c>
      <c r="J171" s="58"/>
      <c r="K171" s="43"/>
      <c r="L171" s="45"/>
      <c r="M171" s="45"/>
      <c r="N171" s="46">
        <v>5053.5730000000003</v>
      </c>
      <c r="O171" s="55"/>
      <c r="P171" s="45"/>
      <c r="Q171" s="55"/>
      <c r="R171" s="58"/>
      <c r="S171" s="43"/>
      <c r="T171" s="45"/>
      <c r="U171" s="45"/>
      <c r="V171" s="45"/>
      <c r="W171" s="45"/>
      <c r="X171" s="46"/>
      <c r="Y171" s="55"/>
      <c r="Z171" s="43"/>
      <c r="AA171" s="46"/>
      <c r="AB171" s="146"/>
      <c r="AC171" s="45"/>
      <c r="AD171" s="45"/>
      <c r="AE171" s="43"/>
      <c r="AF171" s="45"/>
      <c r="AG171" s="45"/>
      <c r="AH171" s="101">
        <f t="shared" si="9"/>
        <v>6.9999999996070983E-3</v>
      </c>
    </row>
    <row r="172" spans="1:34" s="8" customFormat="1" ht="25.5" x14ac:dyDescent="0.2">
      <c r="A172" s="53" t="s">
        <v>154</v>
      </c>
      <c r="B172" s="43"/>
      <c r="C172" s="43"/>
      <c r="D172" s="43"/>
      <c r="E172" s="213"/>
      <c r="F172" s="43"/>
      <c r="G172" s="44"/>
      <c r="H172" s="45"/>
      <c r="I172" s="45">
        <v>5071.6099999999997</v>
      </c>
      <c r="J172" s="58"/>
      <c r="K172" s="43"/>
      <c r="L172" s="45"/>
      <c r="M172" s="45"/>
      <c r="N172" s="46">
        <v>5071.6019999999999</v>
      </c>
      <c r="O172" s="55"/>
      <c r="P172" s="45"/>
      <c r="Q172" s="55"/>
      <c r="R172" s="58"/>
      <c r="S172" s="43"/>
      <c r="T172" s="45"/>
      <c r="U172" s="45"/>
      <c r="V172" s="45"/>
      <c r="W172" s="45"/>
      <c r="X172" s="46"/>
      <c r="Y172" s="55"/>
      <c r="Z172" s="43"/>
      <c r="AA172" s="46"/>
      <c r="AB172" s="146"/>
      <c r="AC172" s="45"/>
      <c r="AD172" s="45"/>
      <c r="AE172" s="43"/>
      <c r="AF172" s="45"/>
      <c r="AG172" s="45"/>
      <c r="AH172" s="101">
        <f t="shared" si="9"/>
        <v>7.9999999998108251E-3</v>
      </c>
    </row>
    <row r="173" spans="1:34" s="8" customFormat="1" ht="47.25" customHeight="1" x14ac:dyDescent="0.2">
      <c r="A173" s="53" t="s">
        <v>198</v>
      </c>
      <c r="B173" s="43"/>
      <c r="C173" s="43"/>
      <c r="D173" s="43"/>
      <c r="E173" s="213"/>
      <c r="F173" s="43"/>
      <c r="G173" s="45"/>
      <c r="H173" s="45"/>
      <c r="I173" s="45"/>
      <c r="J173" s="58"/>
      <c r="K173" s="43"/>
      <c r="L173" s="45">
        <v>18821</v>
      </c>
      <c r="M173" s="45"/>
      <c r="N173" s="46"/>
      <c r="O173" s="55"/>
      <c r="P173" s="45"/>
      <c r="Q173" s="55"/>
      <c r="R173" s="58"/>
      <c r="S173" s="43"/>
      <c r="T173" s="45"/>
      <c r="U173" s="45"/>
      <c r="V173" s="45"/>
      <c r="W173" s="45"/>
      <c r="X173" s="46"/>
      <c r="Y173" s="55"/>
      <c r="Z173" s="43"/>
      <c r="AA173" s="46"/>
      <c r="AB173" s="146"/>
      <c r="AC173" s="45"/>
      <c r="AD173" s="45"/>
      <c r="AE173" s="43"/>
      <c r="AF173" s="45"/>
      <c r="AG173" s="45"/>
      <c r="AH173" s="101">
        <f t="shared" si="9"/>
        <v>0</v>
      </c>
    </row>
    <row r="174" spans="1:34" s="8" customFormat="1" ht="47.25" customHeight="1" x14ac:dyDescent="0.2">
      <c r="A174" s="53" t="s">
        <v>199</v>
      </c>
      <c r="B174" s="43"/>
      <c r="C174" s="43"/>
      <c r="D174" s="43"/>
      <c r="E174" s="213"/>
      <c r="F174" s="43"/>
      <c r="G174" s="45"/>
      <c r="H174" s="45"/>
      <c r="I174" s="45"/>
      <c r="J174" s="58"/>
      <c r="K174" s="43"/>
      <c r="L174" s="45">
        <v>14319</v>
      </c>
      <c r="M174" s="45"/>
      <c r="N174" s="46"/>
      <c r="O174" s="55"/>
      <c r="P174" s="45"/>
      <c r="Q174" s="55"/>
      <c r="R174" s="58"/>
      <c r="S174" s="43"/>
      <c r="T174" s="45"/>
      <c r="U174" s="45"/>
      <c r="V174" s="45"/>
      <c r="W174" s="45"/>
      <c r="X174" s="46"/>
      <c r="Y174" s="55"/>
      <c r="Z174" s="43"/>
      <c r="AA174" s="46"/>
      <c r="AB174" s="146"/>
      <c r="AC174" s="45"/>
      <c r="AD174" s="45"/>
      <c r="AE174" s="43"/>
      <c r="AF174" s="45"/>
      <c r="AG174" s="45"/>
      <c r="AH174" s="101">
        <f t="shared" si="9"/>
        <v>0</v>
      </c>
    </row>
    <row r="175" spans="1:34" s="8" customFormat="1" ht="47.25" customHeight="1" x14ac:dyDescent="0.2">
      <c r="A175" s="53" t="s">
        <v>200</v>
      </c>
      <c r="B175" s="43"/>
      <c r="C175" s="43"/>
      <c r="D175" s="43"/>
      <c r="E175" s="213"/>
      <c r="F175" s="43"/>
      <c r="G175" s="45"/>
      <c r="H175" s="45"/>
      <c r="I175" s="45"/>
      <c r="J175" s="58"/>
      <c r="K175" s="43"/>
      <c r="L175" s="45">
        <v>7079</v>
      </c>
      <c r="M175" s="45"/>
      <c r="N175" s="46"/>
      <c r="O175" s="55"/>
      <c r="P175" s="45"/>
      <c r="Q175" s="55"/>
      <c r="R175" s="58"/>
      <c r="S175" s="43"/>
      <c r="T175" s="45"/>
      <c r="U175" s="45"/>
      <c r="V175" s="45"/>
      <c r="W175" s="45"/>
      <c r="X175" s="46"/>
      <c r="Y175" s="55"/>
      <c r="Z175" s="43"/>
      <c r="AA175" s="46"/>
      <c r="AB175" s="146"/>
      <c r="AC175" s="45"/>
      <c r="AD175" s="45"/>
      <c r="AE175" s="43"/>
      <c r="AF175" s="45"/>
      <c r="AG175" s="45"/>
      <c r="AH175" s="101">
        <f t="shared" si="9"/>
        <v>0</v>
      </c>
    </row>
    <row r="176" spans="1:34" s="8" customFormat="1" ht="47.25" customHeight="1" x14ac:dyDescent="0.2">
      <c r="A176" s="53" t="s">
        <v>162</v>
      </c>
      <c r="B176" s="43"/>
      <c r="C176" s="43"/>
      <c r="D176" s="43"/>
      <c r="E176" s="213"/>
      <c r="F176" s="43"/>
      <c r="G176" s="45"/>
      <c r="H176" s="45"/>
      <c r="I176" s="45"/>
      <c r="J176" s="58"/>
      <c r="K176" s="43"/>
      <c r="L176" s="45">
        <v>2898.03</v>
      </c>
      <c r="M176" s="45">
        <v>2307.08</v>
      </c>
      <c r="N176" s="46"/>
      <c r="O176" s="55"/>
      <c r="P176" s="45"/>
      <c r="Q176" s="55"/>
      <c r="R176" s="58">
        <v>2307.08</v>
      </c>
      <c r="S176" s="43"/>
      <c r="T176" s="45"/>
      <c r="U176" s="45"/>
      <c r="V176" s="45"/>
      <c r="W176" s="45"/>
      <c r="X176" s="46"/>
      <c r="Y176" s="55"/>
      <c r="Z176" s="43"/>
      <c r="AA176" s="46"/>
      <c r="AB176" s="146"/>
      <c r="AC176" s="45"/>
      <c r="AD176" s="45"/>
      <c r="AE176" s="43"/>
      <c r="AF176" s="45"/>
      <c r="AG176" s="45"/>
      <c r="AH176" s="101">
        <f t="shared" ref="AH176:AH182" si="20">C176+D176+I176+M176+Q176+U176-E176-J176-N176-R176-W176</f>
        <v>0</v>
      </c>
    </row>
    <row r="177" spans="1:34" s="8" customFormat="1" ht="42.75" customHeight="1" x14ac:dyDescent="0.2">
      <c r="A177" s="53" t="s">
        <v>163</v>
      </c>
      <c r="B177" s="43"/>
      <c r="C177" s="43"/>
      <c r="D177" s="43"/>
      <c r="E177" s="213"/>
      <c r="F177" s="43"/>
      <c r="G177" s="45"/>
      <c r="H177" s="45"/>
      <c r="I177" s="45"/>
      <c r="J177" s="58"/>
      <c r="K177" s="43"/>
      <c r="L177" s="45">
        <v>19623.91</v>
      </c>
      <c r="M177" s="45">
        <v>19490.73</v>
      </c>
      <c r="N177" s="46"/>
      <c r="O177" s="55"/>
      <c r="P177" s="45"/>
      <c r="Q177" s="55"/>
      <c r="R177" s="58">
        <v>19490.73</v>
      </c>
      <c r="S177" s="43"/>
      <c r="T177" s="45"/>
      <c r="U177" s="45"/>
      <c r="V177" s="45"/>
      <c r="W177" s="45"/>
      <c r="X177" s="46"/>
      <c r="Y177" s="55"/>
      <c r="Z177" s="43"/>
      <c r="AA177" s="46"/>
      <c r="AB177" s="146"/>
      <c r="AC177" s="45"/>
      <c r="AD177" s="45"/>
      <c r="AE177" s="43"/>
      <c r="AF177" s="45"/>
      <c r="AG177" s="45"/>
      <c r="AH177" s="101">
        <f t="shared" si="20"/>
        <v>0</v>
      </c>
    </row>
    <row r="178" spans="1:34" s="8" customFormat="1" ht="42.75" customHeight="1" x14ac:dyDescent="0.2">
      <c r="A178" s="53" t="s">
        <v>164</v>
      </c>
      <c r="B178" s="43"/>
      <c r="C178" s="43"/>
      <c r="D178" s="43"/>
      <c r="E178" s="213"/>
      <c r="F178" s="43"/>
      <c r="G178" s="45"/>
      <c r="H178" s="45"/>
      <c r="I178" s="45"/>
      <c r="J178" s="58"/>
      <c r="K178" s="43"/>
      <c r="L178" s="45">
        <v>7371.15</v>
      </c>
      <c r="M178" s="45">
        <v>3969.08</v>
      </c>
      <c r="N178" s="46"/>
      <c r="O178" s="55"/>
      <c r="P178" s="45"/>
      <c r="Q178" s="55"/>
      <c r="R178" s="58">
        <v>3969.08</v>
      </c>
      <c r="S178" s="43"/>
      <c r="T178" s="45"/>
      <c r="U178" s="45"/>
      <c r="V178" s="45"/>
      <c r="W178" s="45"/>
      <c r="X178" s="46"/>
      <c r="Y178" s="55"/>
      <c r="Z178" s="43"/>
      <c r="AA178" s="46"/>
      <c r="AB178" s="146"/>
      <c r="AC178" s="45"/>
      <c r="AD178" s="45"/>
      <c r="AE178" s="43"/>
      <c r="AF178" s="45"/>
      <c r="AG178" s="45"/>
      <c r="AH178" s="101">
        <f t="shared" si="20"/>
        <v>0</v>
      </c>
    </row>
    <row r="179" spans="1:34" s="8" customFormat="1" x14ac:dyDescent="0.2">
      <c r="A179" s="182" t="s">
        <v>138</v>
      </c>
      <c r="B179" s="183">
        <f t="shared" ref="B179:AG179" si="21">SUM(B145:B178)</f>
        <v>0</v>
      </c>
      <c r="C179" s="183">
        <f t="shared" si="21"/>
        <v>24350.584500000001</v>
      </c>
      <c r="D179" s="183">
        <f t="shared" si="21"/>
        <v>148609.02007999999</v>
      </c>
      <c r="E179" s="187">
        <f t="shared" si="21"/>
        <v>50290.154999999999</v>
      </c>
      <c r="F179" s="199">
        <f t="shared" si="21"/>
        <v>0</v>
      </c>
      <c r="G179" s="191">
        <f t="shared" si="21"/>
        <v>0</v>
      </c>
      <c r="H179" s="191">
        <f t="shared" si="21"/>
        <v>0</v>
      </c>
      <c r="I179" s="191">
        <f t="shared" si="21"/>
        <v>98185.63</v>
      </c>
      <c r="J179" s="218">
        <f t="shared" si="21"/>
        <v>158238.72642000002</v>
      </c>
      <c r="K179" s="199">
        <f t="shared" si="21"/>
        <v>0</v>
      </c>
      <c r="L179" s="191">
        <f t="shared" si="21"/>
        <v>70112.09</v>
      </c>
      <c r="M179" s="191">
        <f t="shared" si="21"/>
        <v>25766.89</v>
      </c>
      <c r="N179" s="200">
        <f t="shared" si="21"/>
        <v>62662.595000000001</v>
      </c>
      <c r="O179" s="222"/>
      <c r="P179" s="191">
        <f t="shared" si="21"/>
        <v>0</v>
      </c>
      <c r="Q179" s="190">
        <f t="shared" si="21"/>
        <v>0</v>
      </c>
      <c r="R179" s="187">
        <f t="shared" si="21"/>
        <v>25766.89</v>
      </c>
      <c r="S179" s="199">
        <f t="shared" si="21"/>
        <v>0</v>
      </c>
      <c r="T179" s="191">
        <f t="shared" si="21"/>
        <v>0</v>
      </c>
      <c r="U179" s="191">
        <f t="shared" si="21"/>
        <v>0</v>
      </c>
      <c r="V179" s="191">
        <f t="shared" si="21"/>
        <v>0</v>
      </c>
      <c r="W179" s="191">
        <f t="shared" si="21"/>
        <v>0</v>
      </c>
      <c r="X179" s="200">
        <f t="shared" si="21"/>
        <v>0</v>
      </c>
      <c r="Y179" s="190"/>
      <c r="Z179" s="183">
        <f t="shared" si="21"/>
        <v>0</v>
      </c>
      <c r="AA179" s="183">
        <f t="shared" si="21"/>
        <v>0</v>
      </c>
      <c r="AB179" s="183">
        <f t="shared" si="21"/>
        <v>0</v>
      </c>
      <c r="AC179" s="183">
        <f t="shared" si="21"/>
        <v>0</v>
      </c>
      <c r="AD179" s="183">
        <f t="shared" si="21"/>
        <v>0</v>
      </c>
      <c r="AE179" s="183">
        <f t="shared" si="21"/>
        <v>0</v>
      </c>
      <c r="AF179" s="183">
        <f t="shared" si="21"/>
        <v>0</v>
      </c>
      <c r="AG179" s="183">
        <f t="shared" si="21"/>
        <v>0</v>
      </c>
      <c r="AH179" s="101">
        <f t="shared" si="20"/>
        <v>-46.241840000016964</v>
      </c>
    </row>
    <row r="180" spans="1:34" s="8" customFormat="1" x14ac:dyDescent="0.2">
      <c r="A180" s="2"/>
      <c r="B180" s="29"/>
      <c r="C180" s="29"/>
      <c r="D180" s="29"/>
      <c r="E180" s="29">
        <f>C179+D179-E179</f>
        <v>122669.44957999999</v>
      </c>
      <c r="F180" s="153"/>
      <c r="G180" s="144"/>
      <c r="H180" s="144"/>
      <c r="I180" s="144"/>
      <c r="J180" s="220">
        <f>E180+I179-J179</f>
        <v>62616.35315999997</v>
      </c>
      <c r="K180" s="153"/>
      <c r="L180" s="144"/>
      <c r="M180" s="144"/>
      <c r="N180" s="154">
        <f>J180+M179-N179</f>
        <v>25720.648159999968</v>
      </c>
      <c r="O180" s="3"/>
      <c r="P180" s="144"/>
      <c r="Q180" s="3"/>
      <c r="R180" s="3">
        <f>N180+Q179-R179</f>
        <v>-46.241840000031516</v>
      </c>
      <c r="S180" s="153"/>
      <c r="T180" s="144"/>
      <c r="U180" s="144"/>
      <c r="V180" s="144"/>
      <c r="W180" s="144"/>
      <c r="X180" s="154"/>
      <c r="Y180" s="3"/>
      <c r="Z180" s="153"/>
      <c r="AA180" s="154"/>
      <c r="AB180" s="164"/>
      <c r="AC180" s="144"/>
      <c r="AD180" s="144"/>
      <c r="AE180" s="153"/>
      <c r="AF180" s="144"/>
      <c r="AG180" s="144"/>
      <c r="AH180" s="101">
        <f t="shared" si="20"/>
        <v>-210960.20905999991</v>
      </c>
    </row>
    <row r="181" spans="1:34" s="8" customFormat="1" ht="13.5" thickBot="1" x14ac:dyDescent="0.25">
      <c r="A181" s="13" t="s">
        <v>6</v>
      </c>
      <c r="B181" s="48">
        <v>0</v>
      </c>
      <c r="C181" s="48">
        <v>484254.09123000002</v>
      </c>
      <c r="D181" s="48">
        <f t="shared" ref="D181:AG181" si="22">SUM(D179,D142,D140,D134,D131,D119,D68,D54,D37)</f>
        <v>460897.52007999999</v>
      </c>
      <c r="E181" s="48">
        <f t="shared" si="22"/>
        <v>382266.45500000002</v>
      </c>
      <c r="F181" s="209">
        <f t="shared" si="22"/>
        <v>199479.2</v>
      </c>
      <c r="G181" s="210">
        <f t="shared" si="22"/>
        <v>1028.5999999999999</v>
      </c>
      <c r="H181" s="210">
        <f t="shared" si="22"/>
        <v>590885.6399999999</v>
      </c>
      <c r="I181" s="210">
        <f t="shared" si="22"/>
        <v>509178.18000000005</v>
      </c>
      <c r="J181" s="221">
        <f t="shared" si="22"/>
        <v>634263.34642000007</v>
      </c>
      <c r="K181" s="209">
        <f t="shared" si="22"/>
        <v>22574</v>
      </c>
      <c r="L181" s="210">
        <f t="shared" si="22"/>
        <v>1252942.0899999999</v>
      </c>
      <c r="M181" s="210">
        <f t="shared" si="22"/>
        <v>1087405.47</v>
      </c>
      <c r="N181" s="211">
        <f t="shared" si="22"/>
        <v>526547.59499999997</v>
      </c>
      <c r="O181" s="223">
        <f t="shared" si="22"/>
        <v>99700</v>
      </c>
      <c r="P181" s="193">
        <f t="shared" si="22"/>
        <v>959852</v>
      </c>
      <c r="Q181" s="166">
        <f t="shared" si="22"/>
        <v>1295248</v>
      </c>
      <c r="R181" s="48">
        <f t="shared" si="22"/>
        <v>1366341.8900000001</v>
      </c>
      <c r="S181" s="209">
        <f t="shared" si="22"/>
        <v>75900</v>
      </c>
      <c r="T181" s="210">
        <f t="shared" si="22"/>
        <v>196320</v>
      </c>
      <c r="U181" s="210">
        <f t="shared" si="22"/>
        <v>0</v>
      </c>
      <c r="V181" s="210">
        <f t="shared" si="22"/>
        <v>1664315</v>
      </c>
      <c r="W181" s="210">
        <f t="shared" si="22"/>
        <v>923800</v>
      </c>
      <c r="X181" s="211">
        <f t="shared" si="22"/>
        <v>245400</v>
      </c>
      <c r="Y181" s="48">
        <f t="shared" si="22"/>
        <v>85200</v>
      </c>
      <c r="Z181" s="48">
        <f t="shared" si="22"/>
        <v>1809180</v>
      </c>
      <c r="AA181" s="173">
        <f t="shared" si="22"/>
        <v>1871065</v>
      </c>
      <c r="AB181" s="166">
        <f t="shared" si="22"/>
        <v>0</v>
      </c>
      <c r="AC181" s="48">
        <f t="shared" si="22"/>
        <v>1147600</v>
      </c>
      <c r="AD181" s="48">
        <f t="shared" si="22"/>
        <v>1493380</v>
      </c>
      <c r="AE181" s="48">
        <f t="shared" si="22"/>
        <v>0</v>
      </c>
      <c r="AF181" s="48">
        <f t="shared" si="22"/>
        <v>0</v>
      </c>
      <c r="AG181" s="48">
        <f t="shared" si="22"/>
        <v>1011250</v>
      </c>
      <c r="AH181" s="101">
        <f t="shared" si="20"/>
        <v>3763.9748899997212</v>
      </c>
    </row>
    <row r="182" spans="1:34" x14ac:dyDescent="0.2">
      <c r="Z182" s="10"/>
      <c r="AA182" s="10"/>
      <c r="AB182" s="155"/>
      <c r="AC182" s="10"/>
      <c r="AD182" s="10"/>
      <c r="AE182" s="155"/>
      <c r="AF182" s="10"/>
      <c r="AG182" s="10"/>
      <c r="AH182" s="101">
        <f t="shared" si="20"/>
        <v>0</v>
      </c>
    </row>
    <row r="183" spans="1:34" s="8" customFormat="1" x14ac:dyDescent="0.2">
      <c r="A183" s="4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01"/>
    </row>
    <row r="184" spans="1:34" s="14" customFormat="1" ht="13.5" thickBot="1" x14ac:dyDescent="0.25">
      <c r="A184" s="4"/>
      <c r="B184" s="174">
        <v>2019</v>
      </c>
      <c r="C184" s="174">
        <v>2020</v>
      </c>
      <c r="D184" s="174">
        <v>2021</v>
      </c>
      <c r="E184" s="174">
        <v>2022</v>
      </c>
      <c r="F184" s="174">
        <v>2023</v>
      </c>
      <c r="G184" s="174">
        <v>2024</v>
      </c>
      <c r="H184" s="174">
        <v>2025</v>
      </c>
      <c r="I184" s="174" t="s">
        <v>146</v>
      </c>
    </row>
    <row r="185" spans="1:34" s="14" customFormat="1" ht="13.5" thickBot="1" x14ac:dyDescent="0.25">
      <c r="A185" s="177" t="s">
        <v>33</v>
      </c>
      <c r="B185" s="114"/>
      <c r="C185" s="114"/>
      <c r="D185" s="114">
        <f>F181</f>
        <v>199479.2</v>
      </c>
      <c r="E185" s="114">
        <f>K181</f>
        <v>22574</v>
      </c>
      <c r="F185" s="114">
        <f>O181</f>
        <v>99700</v>
      </c>
      <c r="G185" s="114">
        <f>S181</f>
        <v>75900</v>
      </c>
      <c r="H185" s="114">
        <f>Y181</f>
        <v>85200</v>
      </c>
      <c r="I185" s="225">
        <f>SUM(B185:H185)</f>
        <v>482853.2</v>
      </c>
    </row>
    <row r="186" spans="1:34" s="14" customFormat="1" x14ac:dyDescent="0.2">
      <c r="A186" s="224"/>
    </row>
    <row r="187" spans="1:34" s="14" customFormat="1" ht="13.5" thickBot="1" x14ac:dyDescent="0.25">
      <c r="A187" s="224"/>
      <c r="B187" s="174">
        <v>2019</v>
      </c>
      <c r="C187" s="174">
        <v>2020</v>
      </c>
      <c r="D187" s="174">
        <v>2021</v>
      </c>
      <c r="E187" s="174">
        <v>2022</v>
      </c>
      <c r="F187" s="174">
        <v>2023</v>
      </c>
      <c r="G187" s="174">
        <v>2024</v>
      </c>
      <c r="H187" s="174">
        <v>2025</v>
      </c>
    </row>
    <row r="188" spans="1:34" s="14" customFormat="1" ht="16.5" customHeight="1" thickBot="1" x14ac:dyDescent="0.25">
      <c r="A188" s="177" t="s">
        <v>152</v>
      </c>
      <c r="B188" s="114"/>
      <c r="C188" s="114"/>
      <c r="D188" s="114">
        <f>H181</f>
        <v>590885.6399999999</v>
      </c>
      <c r="E188" s="114">
        <f>L181</f>
        <v>1252942.0899999999</v>
      </c>
      <c r="F188" s="114">
        <f>P181</f>
        <v>959852</v>
      </c>
      <c r="G188" s="114">
        <f>T181</f>
        <v>196320</v>
      </c>
      <c r="H188" s="115">
        <f t="shared" ref="H188:H192" si="23">SUM(B188:G188)</f>
        <v>2999999.7299999995</v>
      </c>
      <c r="I188" s="88">
        <f>H188-3000000</f>
        <v>-0.27000000048428774</v>
      </c>
    </row>
    <row r="189" spans="1:34" s="14" customFormat="1" x14ac:dyDescent="0.2">
      <c r="A189" s="4"/>
      <c r="B189" s="174"/>
      <c r="C189" s="174"/>
      <c r="D189" s="174"/>
      <c r="E189" s="185">
        <f>D188+E188</f>
        <v>1843827.7299999997</v>
      </c>
      <c r="F189" s="185">
        <f>E189+F188</f>
        <v>2803679.7299999995</v>
      </c>
      <c r="G189" s="185">
        <f>F189+G188</f>
        <v>2999999.7299999995</v>
      </c>
      <c r="H189" s="185"/>
    </row>
    <row r="190" spans="1:34" s="14" customFormat="1" x14ac:dyDescent="0.2">
      <c r="A190" s="4"/>
      <c r="B190" s="174"/>
      <c r="C190" s="174"/>
      <c r="D190" s="174"/>
      <c r="E190" s="185"/>
      <c r="F190" s="185"/>
      <c r="G190" s="185"/>
      <c r="H190" s="185"/>
    </row>
    <row r="191" spans="1:34" s="14" customFormat="1" ht="13.5" thickBot="1" x14ac:dyDescent="0.25">
      <c r="A191" s="175" t="s">
        <v>221</v>
      </c>
      <c r="B191" s="174">
        <v>2019</v>
      </c>
      <c r="C191" s="174">
        <v>2020</v>
      </c>
      <c r="D191" s="174">
        <v>2021</v>
      </c>
      <c r="E191" s="174">
        <v>2022</v>
      </c>
      <c r="F191" s="174">
        <v>2023</v>
      </c>
      <c r="G191" s="174">
        <v>2024</v>
      </c>
      <c r="H191" s="174" t="s">
        <v>146</v>
      </c>
    </row>
    <row r="192" spans="1:34" s="14" customFormat="1" x14ac:dyDescent="0.2">
      <c r="A192" s="78" t="s">
        <v>145</v>
      </c>
      <c r="B192" s="79">
        <f>C181</f>
        <v>484254.09123000002</v>
      </c>
      <c r="C192" s="79">
        <f>D181</f>
        <v>460897.52007999999</v>
      </c>
      <c r="D192" s="79">
        <f>G181+I181</f>
        <v>510206.78</v>
      </c>
      <c r="E192" s="79">
        <f>M181</f>
        <v>1087405.47</v>
      </c>
      <c r="F192" s="79">
        <f>Q181</f>
        <v>1295248</v>
      </c>
      <c r="G192" s="79">
        <f>U181</f>
        <v>0</v>
      </c>
      <c r="H192" s="80">
        <f t="shared" si="23"/>
        <v>3838011.8613100001</v>
      </c>
    </row>
    <row r="193" spans="1:10" s="14" customFormat="1" x14ac:dyDescent="0.2">
      <c r="A193" s="81" t="s">
        <v>141</v>
      </c>
      <c r="B193" s="10"/>
      <c r="C193" s="10">
        <f>E181</f>
        <v>382266.45500000002</v>
      </c>
      <c r="D193" s="10">
        <f>J181</f>
        <v>634263.34642000007</v>
      </c>
      <c r="E193" s="10">
        <f>N181</f>
        <v>526547.59499999997</v>
      </c>
      <c r="F193" s="10">
        <f>R181</f>
        <v>1366341.8900000001</v>
      </c>
      <c r="G193" s="10">
        <f>W181</f>
        <v>923800</v>
      </c>
      <c r="H193" s="82">
        <f>SUM(B193:G193)</f>
        <v>3833219.2864200003</v>
      </c>
      <c r="I193" s="88">
        <f>H192-H193</f>
        <v>4792.5748899998143</v>
      </c>
    </row>
    <row r="194" spans="1:10" s="14" customFormat="1" ht="13.5" thickBot="1" x14ac:dyDescent="0.25">
      <c r="A194" s="118" t="s">
        <v>150</v>
      </c>
      <c r="B194" s="84"/>
      <c r="C194" s="85">
        <f>B192+C192-C193</f>
        <v>562885.15630999999</v>
      </c>
      <c r="D194" s="85">
        <f>C194+D192-D193</f>
        <v>438828.58988999994</v>
      </c>
      <c r="E194" s="85">
        <f>D194+E192-E193</f>
        <v>999686.46488999994</v>
      </c>
      <c r="F194" s="85">
        <f t="shared" ref="F194:G194" si="24">E194+F192-F193</f>
        <v>928592.57488999981</v>
      </c>
      <c r="G194" s="116">
        <f t="shared" si="24"/>
        <v>4792.5748899998143</v>
      </c>
      <c r="H194" s="86"/>
    </row>
    <row r="196" spans="1:10" ht="13.5" thickBot="1" x14ac:dyDescent="0.25">
      <c r="A196" s="176" t="s">
        <v>203</v>
      </c>
      <c r="B196" s="174">
        <v>2019</v>
      </c>
      <c r="C196" s="174">
        <v>2020</v>
      </c>
      <c r="D196" s="174">
        <v>2021</v>
      </c>
      <c r="E196" s="174">
        <v>2022</v>
      </c>
      <c r="F196" s="174">
        <v>2023</v>
      </c>
      <c r="G196" s="174">
        <v>2024</v>
      </c>
      <c r="H196" s="174">
        <v>2025</v>
      </c>
      <c r="I196" s="174">
        <v>2026</v>
      </c>
      <c r="J196" s="174">
        <v>2027</v>
      </c>
    </row>
    <row r="197" spans="1:10" x14ac:dyDescent="0.2">
      <c r="A197" s="78" t="s">
        <v>215</v>
      </c>
      <c r="B197" s="79">
        <f>C185</f>
        <v>0</v>
      </c>
      <c r="C197" s="79">
        <v>0</v>
      </c>
      <c r="D197" s="79">
        <v>0</v>
      </c>
      <c r="E197" s="79">
        <v>0</v>
      </c>
      <c r="F197" s="79">
        <v>0</v>
      </c>
      <c r="G197" s="79">
        <f>V181</f>
        <v>1664315</v>
      </c>
      <c r="H197" s="79">
        <f>Z181</f>
        <v>1809180</v>
      </c>
      <c r="I197" s="79">
        <f>AC181</f>
        <v>1147600</v>
      </c>
      <c r="J197" s="79">
        <f>X185</f>
        <v>0</v>
      </c>
    </row>
    <row r="198" spans="1:10" x14ac:dyDescent="0.2">
      <c r="A198" s="81" t="s">
        <v>216</v>
      </c>
      <c r="B198" s="10"/>
      <c r="C198" s="10">
        <v>0</v>
      </c>
      <c r="D198" s="10">
        <v>0</v>
      </c>
      <c r="E198" s="10">
        <v>0</v>
      </c>
      <c r="F198" s="10">
        <v>0</v>
      </c>
      <c r="G198" s="10">
        <f>X181</f>
        <v>245400</v>
      </c>
      <c r="H198" s="10">
        <f>AA181</f>
        <v>1871065</v>
      </c>
      <c r="I198" s="10">
        <f>AD181</f>
        <v>1493380</v>
      </c>
      <c r="J198" s="10">
        <f>AG181</f>
        <v>1011250</v>
      </c>
    </row>
    <row r="199" spans="1:10" ht="13.5" thickBot="1" x14ac:dyDescent="0.25">
      <c r="A199" s="118" t="s">
        <v>217</v>
      </c>
      <c r="B199" s="84"/>
      <c r="C199" s="85">
        <f>B197+C197-C198</f>
        <v>0</v>
      </c>
      <c r="D199" s="85">
        <f>C199+D197-D198</f>
        <v>0</v>
      </c>
      <c r="E199" s="85">
        <f>D199+E197-E198</f>
        <v>0</v>
      </c>
      <c r="F199" s="85">
        <f t="shared" ref="F199:J199" si="25">E199+F197-F198</f>
        <v>0</v>
      </c>
      <c r="G199" s="85">
        <f t="shared" si="25"/>
        <v>1418915</v>
      </c>
      <c r="H199" s="85">
        <f t="shared" si="25"/>
        <v>1357030</v>
      </c>
      <c r="I199" s="85">
        <f t="shared" si="25"/>
        <v>1011250</v>
      </c>
      <c r="J199" s="85">
        <f t="shared" si="25"/>
        <v>0</v>
      </c>
    </row>
  </sheetData>
  <mergeCells count="8">
    <mergeCell ref="AB1:AD1"/>
    <mergeCell ref="AE1:AG1"/>
    <mergeCell ref="A1:A2"/>
    <mergeCell ref="F1:J1"/>
    <mergeCell ref="K1:N1"/>
    <mergeCell ref="O1:R1"/>
    <mergeCell ref="Y1:AA1"/>
    <mergeCell ref="S1:X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94F0C-5C92-48A3-8093-C7050A356AC3}">
  <sheetPr>
    <tabColor theme="0"/>
  </sheetPr>
  <dimension ref="A1:AH201"/>
  <sheetViews>
    <sheetView workbookViewId="0">
      <selection sqref="A1:A2"/>
    </sheetView>
  </sheetViews>
  <sheetFormatPr defaultColWidth="9.140625" defaultRowHeight="12.75" x14ac:dyDescent="0.2"/>
  <cols>
    <col min="1" max="1" width="52.42578125" style="4" customWidth="1"/>
    <col min="2" max="33" width="14.7109375" style="14" customWidth="1"/>
    <col min="34" max="34" width="12.7109375" style="4" customWidth="1"/>
    <col min="35" max="16384" width="9.140625" style="4"/>
  </cols>
  <sheetData>
    <row r="1" spans="1:34" ht="21" customHeight="1" thickBot="1" x14ac:dyDescent="0.25">
      <c r="A1" s="372" t="s">
        <v>0</v>
      </c>
      <c r="B1" s="71">
        <v>2018</v>
      </c>
      <c r="C1" s="71" t="s">
        <v>149</v>
      </c>
      <c r="D1" s="71" t="s">
        <v>147</v>
      </c>
      <c r="E1" s="71" t="s">
        <v>148</v>
      </c>
      <c r="F1" s="367" t="s">
        <v>113</v>
      </c>
      <c r="G1" s="370"/>
      <c r="H1" s="370"/>
      <c r="I1" s="370"/>
      <c r="J1" s="377"/>
      <c r="K1" s="367" t="s">
        <v>114</v>
      </c>
      <c r="L1" s="370"/>
      <c r="M1" s="370"/>
      <c r="N1" s="369"/>
      <c r="O1" s="368" t="s">
        <v>115</v>
      </c>
      <c r="P1" s="376"/>
      <c r="Q1" s="376"/>
      <c r="R1" s="376"/>
      <c r="S1" s="381" t="s">
        <v>116</v>
      </c>
      <c r="T1" s="382"/>
      <c r="U1" s="382"/>
      <c r="V1" s="382"/>
      <c r="W1" s="382"/>
      <c r="X1" s="383"/>
      <c r="Y1" s="378" t="s">
        <v>204</v>
      </c>
      <c r="Z1" s="379"/>
      <c r="AA1" s="380"/>
      <c r="AB1" s="368" t="s">
        <v>218</v>
      </c>
      <c r="AC1" s="368"/>
      <c r="AD1" s="376"/>
      <c r="AE1" s="374" t="s">
        <v>219</v>
      </c>
      <c r="AF1" s="368"/>
      <c r="AG1" s="376"/>
    </row>
    <row r="2" spans="1:34" ht="25.5" x14ac:dyDescent="0.2">
      <c r="A2" s="373"/>
      <c r="B2" s="21"/>
      <c r="C2" s="21"/>
      <c r="D2" s="21"/>
      <c r="E2" s="212"/>
      <c r="F2" s="21" t="s">
        <v>143</v>
      </c>
      <c r="G2" s="75" t="s">
        <v>36</v>
      </c>
      <c r="H2" s="5" t="s">
        <v>152</v>
      </c>
      <c r="I2" s="5" t="s">
        <v>139</v>
      </c>
      <c r="J2" s="57" t="s">
        <v>140</v>
      </c>
      <c r="K2" s="21" t="s">
        <v>143</v>
      </c>
      <c r="L2" s="5" t="s">
        <v>152</v>
      </c>
      <c r="M2" s="5" t="s">
        <v>139</v>
      </c>
      <c r="N2" s="22" t="s">
        <v>140</v>
      </c>
      <c r="O2" s="188" t="s">
        <v>143</v>
      </c>
      <c r="P2" s="5" t="s">
        <v>152</v>
      </c>
      <c r="Q2" s="188" t="s">
        <v>139</v>
      </c>
      <c r="R2" s="57" t="s">
        <v>140</v>
      </c>
      <c r="S2" s="21" t="s">
        <v>143</v>
      </c>
      <c r="T2" s="5" t="s">
        <v>152</v>
      </c>
      <c r="U2" s="5" t="s">
        <v>139</v>
      </c>
      <c r="V2" s="196" t="s">
        <v>214</v>
      </c>
      <c r="W2" s="5" t="s">
        <v>140</v>
      </c>
      <c r="X2" s="168" t="s">
        <v>213</v>
      </c>
      <c r="Y2" s="204" t="s">
        <v>143</v>
      </c>
      <c r="Z2" s="197" t="s">
        <v>214</v>
      </c>
      <c r="AA2" s="198" t="s">
        <v>213</v>
      </c>
      <c r="AB2" s="158" t="s">
        <v>220</v>
      </c>
      <c r="AC2" s="140" t="s">
        <v>214</v>
      </c>
      <c r="AD2" s="140" t="s">
        <v>213</v>
      </c>
      <c r="AE2" s="21" t="s">
        <v>220</v>
      </c>
      <c r="AF2" s="140" t="s">
        <v>214</v>
      </c>
      <c r="AG2" s="140" t="s">
        <v>213</v>
      </c>
    </row>
    <row r="3" spans="1:34" s="37" customFormat="1" x14ac:dyDescent="0.2">
      <c r="A3" s="128" t="s">
        <v>94</v>
      </c>
      <c r="B3" s="43"/>
      <c r="C3" s="43"/>
      <c r="D3" s="43"/>
      <c r="E3" s="213"/>
      <c r="F3" s="43"/>
      <c r="G3" s="44"/>
      <c r="H3" s="45"/>
      <c r="I3" s="45">
        <v>43590</v>
      </c>
      <c r="J3" s="58"/>
      <c r="K3" s="43"/>
      <c r="L3" s="45"/>
      <c r="M3" s="45">
        <v>9800</v>
      </c>
      <c r="N3" s="46">
        <v>53390</v>
      </c>
      <c r="O3" s="55"/>
      <c r="P3" s="45"/>
      <c r="Q3" s="146"/>
      <c r="R3" s="58"/>
      <c r="S3" s="43"/>
      <c r="T3" s="45"/>
      <c r="U3" s="45"/>
      <c r="V3" s="45"/>
      <c r="W3" s="45"/>
      <c r="X3" s="46"/>
      <c r="Y3" s="146"/>
      <c r="Z3" s="45"/>
      <c r="AA3" s="46"/>
      <c r="AB3" s="146"/>
      <c r="AC3" s="45"/>
      <c r="AD3" s="45"/>
      <c r="AE3" s="43"/>
      <c r="AF3" s="45"/>
      <c r="AG3" s="45"/>
      <c r="AH3" s="101">
        <f t="shared" ref="AH3:AH33" si="0">C3+D3+I3+M3+Q3+U3-E3-J3-N3-R3-W3</f>
        <v>0</v>
      </c>
    </row>
    <row r="4" spans="1:34" s="37" customFormat="1" x14ac:dyDescent="0.2">
      <c r="A4" s="122" t="s">
        <v>95</v>
      </c>
      <c r="B4" s="43"/>
      <c r="C4" s="43"/>
      <c r="D4" s="43"/>
      <c r="E4" s="213"/>
      <c r="F4" s="43"/>
      <c r="G4" s="44"/>
      <c r="H4" s="45"/>
      <c r="I4" s="45"/>
      <c r="J4" s="58"/>
      <c r="K4" s="43"/>
      <c r="L4" s="45"/>
      <c r="M4" s="120"/>
      <c r="N4" s="46"/>
      <c r="O4" s="55"/>
      <c r="P4" s="45"/>
      <c r="Q4" s="162">
        <v>37000</v>
      </c>
      <c r="R4" s="123"/>
      <c r="S4" s="43"/>
      <c r="T4" s="45"/>
      <c r="U4" s="45"/>
      <c r="V4" s="67">
        <v>128000</v>
      </c>
      <c r="W4" s="120">
        <v>37000</v>
      </c>
      <c r="X4" s="121"/>
      <c r="Y4" s="162"/>
      <c r="Z4" s="45">
        <v>60500</v>
      </c>
      <c r="AA4" s="46">
        <v>128000</v>
      </c>
      <c r="AB4" s="146"/>
      <c r="AC4" s="45"/>
      <c r="AD4" s="45">
        <v>60500</v>
      </c>
      <c r="AE4" s="43"/>
      <c r="AF4" s="45"/>
      <c r="AG4" s="45"/>
      <c r="AH4" s="101">
        <f t="shared" si="0"/>
        <v>0</v>
      </c>
    </row>
    <row r="5" spans="1:34" s="37" customFormat="1" x14ac:dyDescent="0.2">
      <c r="A5" s="38" t="s">
        <v>202</v>
      </c>
      <c r="B5" s="43"/>
      <c r="C5" s="43"/>
      <c r="D5" s="43"/>
      <c r="E5" s="213"/>
      <c r="F5" s="43"/>
      <c r="G5" s="44"/>
      <c r="H5" s="45"/>
      <c r="I5" s="45"/>
      <c r="J5" s="58"/>
      <c r="K5" s="43"/>
      <c r="L5" s="45"/>
      <c r="M5" s="45">
        <v>24000</v>
      </c>
      <c r="N5" s="46"/>
      <c r="O5" s="55"/>
      <c r="P5" s="45"/>
      <c r="Q5" s="162">
        <v>70500</v>
      </c>
      <c r="R5" s="123">
        <v>24000</v>
      </c>
      <c r="S5" s="43"/>
      <c r="T5" s="45"/>
      <c r="U5" s="45"/>
      <c r="V5" s="67">
        <v>75700</v>
      </c>
      <c r="W5" s="120">
        <v>70500</v>
      </c>
      <c r="X5" s="121"/>
      <c r="Y5" s="162"/>
      <c r="Z5" s="45">
        <v>86000</v>
      </c>
      <c r="AA5" s="46">
        <v>75700</v>
      </c>
      <c r="AB5" s="146"/>
      <c r="AC5" s="45"/>
      <c r="AD5" s="45">
        <v>86000</v>
      </c>
      <c r="AE5" s="43"/>
      <c r="AF5" s="45"/>
      <c r="AG5" s="45"/>
      <c r="AH5" s="101">
        <f t="shared" si="0"/>
        <v>0</v>
      </c>
    </row>
    <row r="6" spans="1:34" s="37" customFormat="1" ht="25.5" x14ac:dyDescent="0.2">
      <c r="A6" s="128" t="s">
        <v>96</v>
      </c>
      <c r="B6" s="43"/>
      <c r="C6" s="43"/>
      <c r="D6" s="43"/>
      <c r="E6" s="213"/>
      <c r="F6" s="43"/>
      <c r="G6" s="44"/>
      <c r="H6" s="45"/>
      <c r="I6" s="45">
        <v>0</v>
      </c>
      <c r="J6" s="58"/>
      <c r="K6" s="43"/>
      <c r="L6" s="45"/>
      <c r="M6" s="45">
        <v>61600</v>
      </c>
      <c r="N6" s="46">
        <v>0</v>
      </c>
      <c r="O6" s="55"/>
      <c r="P6" s="45"/>
      <c r="Q6" s="146"/>
      <c r="R6" s="58">
        <v>61600</v>
      </c>
      <c r="S6" s="43"/>
      <c r="T6" s="45"/>
      <c r="U6" s="45"/>
      <c r="V6" s="45"/>
      <c r="W6" s="45"/>
      <c r="X6" s="46"/>
      <c r="Y6" s="146"/>
      <c r="Z6" s="45"/>
      <c r="AA6" s="46"/>
      <c r="AB6" s="146"/>
      <c r="AC6" s="45"/>
      <c r="AD6" s="45"/>
      <c r="AE6" s="43"/>
      <c r="AF6" s="45"/>
      <c r="AG6" s="45"/>
      <c r="AH6" s="101">
        <f t="shared" si="0"/>
        <v>0</v>
      </c>
    </row>
    <row r="7" spans="1:34" s="37" customFormat="1" x14ac:dyDescent="0.2">
      <c r="A7" s="128" t="s">
        <v>97</v>
      </c>
      <c r="B7" s="43"/>
      <c r="C7" s="43">
        <v>49967.695000000007</v>
      </c>
      <c r="D7" s="43"/>
      <c r="E7" s="213">
        <v>49812.41</v>
      </c>
      <c r="F7" s="43"/>
      <c r="G7" s="44"/>
      <c r="H7" s="45"/>
      <c r="I7" s="45"/>
      <c r="J7" s="58"/>
      <c r="K7" s="43"/>
      <c r="L7" s="45"/>
      <c r="M7" s="45"/>
      <c r="N7" s="46"/>
      <c r="O7" s="55"/>
      <c r="P7" s="45"/>
      <c r="Q7" s="146"/>
      <c r="R7" s="58"/>
      <c r="S7" s="43"/>
      <c r="T7" s="45"/>
      <c r="U7" s="45"/>
      <c r="V7" s="45"/>
      <c r="W7" s="45"/>
      <c r="X7" s="46"/>
      <c r="Y7" s="146"/>
      <c r="Z7" s="45"/>
      <c r="AA7" s="46"/>
      <c r="AB7" s="146"/>
      <c r="AC7" s="45"/>
      <c r="AD7" s="45"/>
      <c r="AE7" s="43"/>
      <c r="AF7" s="45"/>
      <c r="AG7" s="45"/>
      <c r="AH7" s="229">
        <f t="shared" si="0"/>
        <v>155.28500000000349</v>
      </c>
    </row>
    <row r="8" spans="1:34" s="37" customFormat="1" x14ac:dyDescent="0.2">
      <c r="A8" s="128" t="s">
        <v>37</v>
      </c>
      <c r="B8" s="43"/>
      <c r="C8" s="43"/>
      <c r="D8" s="43">
        <v>26008.13</v>
      </c>
      <c r="E8" s="213"/>
      <c r="F8" s="43"/>
      <c r="G8" s="44"/>
      <c r="H8" s="45"/>
      <c r="I8" s="45"/>
      <c r="J8" s="58">
        <v>25956.75</v>
      </c>
      <c r="K8" s="43"/>
      <c r="L8" s="45"/>
      <c r="M8" s="45"/>
      <c r="N8" s="46"/>
      <c r="O8" s="55"/>
      <c r="P8" s="45"/>
      <c r="Q8" s="146"/>
      <c r="R8" s="58"/>
      <c r="S8" s="43"/>
      <c r="T8" s="45"/>
      <c r="U8" s="45"/>
      <c r="V8" s="45"/>
      <c r="W8" s="45"/>
      <c r="X8" s="46"/>
      <c r="Y8" s="146"/>
      <c r="Z8" s="45"/>
      <c r="AA8" s="46"/>
      <c r="AB8" s="146"/>
      <c r="AC8" s="45"/>
      <c r="AD8" s="45"/>
      <c r="AE8" s="43"/>
      <c r="AF8" s="45"/>
      <c r="AG8" s="45"/>
      <c r="AH8" s="229">
        <f t="shared" si="0"/>
        <v>51.380000000001019</v>
      </c>
    </row>
    <row r="9" spans="1:34" s="37" customFormat="1" x14ac:dyDescent="0.2">
      <c r="A9" s="128" t="s">
        <v>39</v>
      </c>
      <c r="B9" s="43"/>
      <c r="C9" s="43">
        <v>28740.21488</v>
      </c>
      <c r="D9" s="43"/>
      <c r="E9" s="213">
        <v>28692.21</v>
      </c>
      <c r="F9" s="43"/>
      <c r="G9" s="44"/>
      <c r="H9" s="45"/>
      <c r="I9" s="45"/>
      <c r="J9" s="58"/>
      <c r="K9" s="43"/>
      <c r="L9" s="45"/>
      <c r="M9" s="45"/>
      <c r="N9" s="46"/>
      <c r="O9" s="55"/>
      <c r="P9" s="45"/>
      <c r="Q9" s="146"/>
      <c r="R9" s="58"/>
      <c r="S9" s="43"/>
      <c r="T9" s="45"/>
      <c r="U9" s="45"/>
      <c r="V9" s="45"/>
      <c r="W9" s="45"/>
      <c r="X9" s="46"/>
      <c r="Y9" s="146"/>
      <c r="Z9" s="45"/>
      <c r="AA9" s="46"/>
      <c r="AB9" s="146"/>
      <c r="AC9" s="45"/>
      <c r="AD9" s="45"/>
      <c r="AE9" s="43"/>
      <c r="AF9" s="45"/>
      <c r="AG9" s="45"/>
      <c r="AH9" s="229">
        <f t="shared" si="0"/>
        <v>48.004880000000412</v>
      </c>
    </row>
    <row r="10" spans="1:34" s="37" customFormat="1" x14ac:dyDescent="0.2">
      <c r="A10" s="128" t="s">
        <v>142</v>
      </c>
      <c r="B10" s="43"/>
      <c r="C10" s="43">
        <v>92990.592149999997</v>
      </c>
      <c r="D10" s="43">
        <v>35376.769999999997</v>
      </c>
      <c r="E10" s="213"/>
      <c r="F10" s="43"/>
      <c r="G10" s="44"/>
      <c r="H10" s="45"/>
      <c r="I10" s="45"/>
      <c r="J10" s="58">
        <v>128368</v>
      </c>
      <c r="K10" s="43"/>
      <c r="L10" s="45"/>
      <c r="M10" s="45"/>
      <c r="N10" s="46"/>
      <c r="O10" s="55"/>
      <c r="P10" s="45"/>
      <c r="Q10" s="146"/>
      <c r="R10" s="58"/>
      <c r="S10" s="43"/>
      <c r="T10" s="45"/>
      <c r="U10" s="45"/>
      <c r="V10" s="45"/>
      <c r="W10" s="45"/>
      <c r="X10" s="46"/>
      <c r="Y10" s="146"/>
      <c r="Z10" s="45"/>
      <c r="AA10" s="46"/>
      <c r="AB10" s="146"/>
      <c r="AC10" s="45"/>
      <c r="AD10" s="45"/>
      <c r="AE10" s="43"/>
      <c r="AF10" s="45"/>
      <c r="AG10" s="45"/>
      <c r="AH10" s="101">
        <f t="shared" si="0"/>
        <v>-0.63784999999916181</v>
      </c>
    </row>
    <row r="11" spans="1:34" s="37" customFormat="1" ht="25.5" x14ac:dyDescent="0.2">
      <c r="A11" s="128" t="s">
        <v>38</v>
      </c>
      <c r="B11" s="43"/>
      <c r="C11" s="43">
        <v>31682.355830000008</v>
      </c>
      <c r="D11" s="43">
        <v>33997.089999999997</v>
      </c>
      <c r="E11" s="213"/>
      <c r="F11" s="43"/>
      <c r="G11" s="44"/>
      <c r="H11" s="45"/>
      <c r="I11" s="45"/>
      <c r="J11" s="58">
        <v>65679.45</v>
      </c>
      <c r="K11" s="43"/>
      <c r="L11" s="45"/>
      <c r="M11" s="45"/>
      <c r="N11" s="46"/>
      <c r="O11" s="55"/>
      <c r="P11" s="45"/>
      <c r="Q11" s="146"/>
      <c r="R11" s="58"/>
      <c r="S11" s="43"/>
      <c r="T11" s="45"/>
      <c r="U11" s="45"/>
      <c r="V11" s="45"/>
      <c r="W11" s="45"/>
      <c r="X11" s="46"/>
      <c r="Y11" s="146"/>
      <c r="Z11" s="45"/>
      <c r="AA11" s="46"/>
      <c r="AB11" s="146"/>
      <c r="AC11" s="45"/>
      <c r="AD11" s="45"/>
      <c r="AE11" s="43"/>
      <c r="AF11" s="45"/>
      <c r="AG11" s="45"/>
      <c r="AH11" s="101">
        <f t="shared" si="0"/>
        <v>-4.1699999856064096E-3</v>
      </c>
    </row>
    <row r="12" spans="1:34" s="37" customFormat="1" ht="25.5" x14ac:dyDescent="0.2">
      <c r="A12" s="128" t="s">
        <v>40</v>
      </c>
      <c r="B12" s="43"/>
      <c r="C12" s="43">
        <v>61875.870090000004</v>
      </c>
      <c r="D12" s="43">
        <v>20356.8</v>
      </c>
      <c r="E12" s="213">
        <v>82232.67</v>
      </c>
      <c r="F12" s="43"/>
      <c r="G12" s="44"/>
      <c r="H12" s="45"/>
      <c r="I12" s="45"/>
      <c r="J12" s="58"/>
      <c r="K12" s="43"/>
      <c r="L12" s="45"/>
      <c r="M12" s="45"/>
      <c r="N12" s="46"/>
      <c r="O12" s="55"/>
      <c r="P12" s="45"/>
      <c r="Q12" s="146"/>
      <c r="R12" s="58"/>
      <c r="S12" s="43"/>
      <c r="T12" s="45"/>
      <c r="U12" s="45"/>
      <c r="V12" s="45"/>
      <c r="W12" s="45"/>
      <c r="X12" s="46"/>
      <c r="Y12" s="146"/>
      <c r="Z12" s="45"/>
      <c r="AA12" s="46"/>
      <c r="AB12" s="146"/>
      <c r="AC12" s="45"/>
      <c r="AD12" s="45"/>
      <c r="AE12" s="43"/>
      <c r="AF12" s="45"/>
      <c r="AG12" s="45"/>
      <c r="AH12" s="101">
        <f t="shared" si="0"/>
        <v>9.0000001364387572E-5</v>
      </c>
    </row>
    <row r="13" spans="1:34" s="37" customFormat="1" ht="25.5" x14ac:dyDescent="0.2">
      <c r="A13" s="128" t="s">
        <v>41</v>
      </c>
      <c r="B13" s="43"/>
      <c r="C13" s="43"/>
      <c r="D13" s="43">
        <v>190.46</v>
      </c>
      <c r="E13" s="213"/>
      <c r="F13" s="43"/>
      <c r="G13" s="44"/>
      <c r="H13" s="45"/>
      <c r="I13" s="45">
        <v>37759.83</v>
      </c>
      <c r="J13" s="58">
        <v>0</v>
      </c>
      <c r="K13" s="43"/>
      <c r="L13" s="45"/>
      <c r="M13" s="45">
        <v>5071</v>
      </c>
      <c r="N13" s="46">
        <v>43022</v>
      </c>
      <c r="O13" s="55"/>
      <c r="P13" s="45"/>
      <c r="Q13" s="146"/>
      <c r="R13" s="58"/>
      <c r="S13" s="43"/>
      <c r="T13" s="45"/>
      <c r="U13" s="45"/>
      <c r="V13" s="45"/>
      <c r="W13" s="45"/>
      <c r="X13" s="46"/>
      <c r="Y13" s="146"/>
      <c r="Z13" s="45"/>
      <c r="AA13" s="46"/>
      <c r="AB13" s="146"/>
      <c r="AC13" s="45"/>
      <c r="AD13" s="45"/>
      <c r="AE13" s="43"/>
      <c r="AF13" s="45"/>
      <c r="AG13" s="45"/>
      <c r="AH13" s="101">
        <f t="shared" si="0"/>
        <v>-0.70999999999912689</v>
      </c>
    </row>
    <row r="14" spans="1:34" s="37" customFormat="1" ht="25.5" x14ac:dyDescent="0.2">
      <c r="A14" s="128" t="s">
        <v>43</v>
      </c>
      <c r="B14" s="43"/>
      <c r="C14" s="43"/>
      <c r="D14" s="43"/>
      <c r="E14" s="213"/>
      <c r="F14" s="43"/>
      <c r="G14" s="44"/>
      <c r="H14" s="45"/>
      <c r="I14" s="45">
        <v>44419.3</v>
      </c>
      <c r="J14" s="58"/>
      <c r="K14" s="43"/>
      <c r="L14" s="45"/>
      <c r="M14" s="45">
        <v>28620</v>
      </c>
      <c r="N14" s="46">
        <v>73040</v>
      </c>
      <c r="O14" s="55"/>
      <c r="P14" s="45"/>
      <c r="Q14" s="146"/>
      <c r="R14" s="58"/>
      <c r="S14" s="43"/>
      <c r="T14" s="45"/>
      <c r="U14" s="45"/>
      <c r="V14" s="45"/>
      <c r="W14" s="45"/>
      <c r="X14" s="46"/>
      <c r="Y14" s="146"/>
      <c r="Z14" s="45"/>
      <c r="AA14" s="46"/>
      <c r="AB14" s="146"/>
      <c r="AC14" s="45"/>
      <c r="AD14" s="45"/>
      <c r="AE14" s="43"/>
      <c r="AF14" s="45"/>
      <c r="AG14" s="45"/>
      <c r="AH14" s="101">
        <f t="shared" si="0"/>
        <v>-0.69999999999708962</v>
      </c>
    </row>
    <row r="15" spans="1:34" s="37" customFormat="1" ht="25.5" x14ac:dyDescent="0.2">
      <c r="A15" s="128" t="s">
        <v>42</v>
      </c>
      <c r="B15" s="43"/>
      <c r="C15" s="43">
        <v>50463.757810000003</v>
      </c>
      <c r="D15" s="43"/>
      <c r="E15" s="213">
        <v>46106.89</v>
      </c>
      <c r="F15" s="43"/>
      <c r="G15" s="44"/>
      <c r="H15" s="45"/>
      <c r="I15" s="45"/>
      <c r="J15" s="58"/>
      <c r="K15" s="43"/>
      <c r="L15" s="45"/>
      <c r="M15" s="45"/>
      <c r="N15" s="46"/>
      <c r="O15" s="55"/>
      <c r="P15" s="45"/>
      <c r="Q15" s="146"/>
      <c r="R15" s="58"/>
      <c r="S15" s="43"/>
      <c r="T15" s="45"/>
      <c r="U15" s="45"/>
      <c r="V15" s="45"/>
      <c r="W15" s="45"/>
      <c r="X15" s="46"/>
      <c r="Y15" s="146"/>
      <c r="Z15" s="45"/>
      <c r="AA15" s="46"/>
      <c r="AB15" s="146"/>
      <c r="AC15" s="45"/>
      <c r="AD15" s="45"/>
      <c r="AE15" s="43"/>
      <c r="AF15" s="45"/>
      <c r="AG15" s="45"/>
      <c r="AH15" s="229">
        <f t="shared" si="0"/>
        <v>4356.8678100000034</v>
      </c>
    </row>
    <row r="16" spans="1:34" s="37" customFormat="1" x14ac:dyDescent="0.2">
      <c r="A16" s="128" t="s">
        <v>195</v>
      </c>
      <c r="B16" s="43"/>
      <c r="C16" s="43">
        <v>12</v>
      </c>
      <c r="D16" s="43"/>
      <c r="E16" s="213"/>
      <c r="F16" s="43"/>
      <c r="G16" s="44"/>
      <c r="H16" s="45"/>
      <c r="I16" s="45"/>
      <c r="J16" s="58"/>
      <c r="K16" s="43"/>
      <c r="L16" s="45"/>
      <c r="M16" s="45"/>
      <c r="N16" s="46"/>
      <c r="O16" s="55"/>
      <c r="P16" s="45"/>
      <c r="Q16" s="146"/>
      <c r="R16" s="58"/>
      <c r="S16" s="43"/>
      <c r="T16" s="45"/>
      <c r="U16" s="45"/>
      <c r="V16" s="45"/>
      <c r="W16" s="45"/>
      <c r="X16" s="46"/>
      <c r="Y16" s="146"/>
      <c r="Z16" s="45"/>
      <c r="AA16" s="46"/>
      <c r="AB16" s="146"/>
      <c r="AC16" s="45"/>
      <c r="AD16" s="45"/>
      <c r="AE16" s="43"/>
      <c r="AF16" s="45"/>
      <c r="AG16" s="45"/>
      <c r="AH16" s="229">
        <f t="shared" si="0"/>
        <v>12</v>
      </c>
    </row>
    <row r="17" spans="1:34" s="37" customFormat="1" x14ac:dyDescent="0.2">
      <c r="A17" s="128" t="s">
        <v>44</v>
      </c>
      <c r="B17" s="43"/>
      <c r="C17" s="43"/>
      <c r="D17" s="43"/>
      <c r="E17" s="213"/>
      <c r="F17" s="43"/>
      <c r="G17" s="44"/>
      <c r="H17" s="45"/>
      <c r="I17" s="45">
        <v>38810.980000000003</v>
      </c>
      <c r="J17" s="58">
        <v>38810.980000000003</v>
      </c>
      <c r="K17" s="43"/>
      <c r="L17" s="45"/>
      <c r="M17" s="45"/>
      <c r="N17" s="46"/>
      <c r="O17" s="55"/>
      <c r="P17" s="45"/>
      <c r="Q17" s="146"/>
      <c r="R17" s="58"/>
      <c r="S17" s="43"/>
      <c r="T17" s="45"/>
      <c r="U17" s="45"/>
      <c r="V17" s="45"/>
      <c r="W17" s="45"/>
      <c r="X17" s="46"/>
      <c r="Y17" s="146"/>
      <c r="Z17" s="45"/>
      <c r="AA17" s="46"/>
      <c r="AB17" s="146"/>
      <c r="AC17" s="45"/>
      <c r="AD17" s="45"/>
      <c r="AE17" s="43"/>
      <c r="AF17" s="45"/>
      <c r="AG17" s="45"/>
      <c r="AH17" s="101">
        <f t="shared" si="0"/>
        <v>0</v>
      </c>
    </row>
    <row r="18" spans="1:34" s="37" customFormat="1" x14ac:dyDescent="0.2">
      <c r="A18" s="128" t="s">
        <v>45</v>
      </c>
      <c r="B18" s="43"/>
      <c r="C18" s="43"/>
      <c r="D18" s="43">
        <v>27498.560000000001</v>
      </c>
      <c r="E18" s="213"/>
      <c r="F18" s="43"/>
      <c r="G18" s="44"/>
      <c r="H18" s="45"/>
      <c r="I18" s="45">
        <v>1265.94</v>
      </c>
      <c r="J18" s="58">
        <v>28764.5</v>
      </c>
      <c r="K18" s="43"/>
      <c r="L18" s="45"/>
      <c r="M18" s="45"/>
      <c r="N18" s="46"/>
      <c r="O18" s="55"/>
      <c r="P18" s="45"/>
      <c r="Q18" s="146"/>
      <c r="R18" s="58"/>
      <c r="S18" s="43"/>
      <c r="T18" s="45"/>
      <c r="U18" s="45"/>
      <c r="V18" s="45"/>
      <c r="W18" s="45"/>
      <c r="X18" s="46"/>
      <c r="Y18" s="146"/>
      <c r="Z18" s="45"/>
      <c r="AA18" s="46"/>
      <c r="AB18" s="146"/>
      <c r="AC18" s="45"/>
      <c r="AD18" s="45"/>
      <c r="AE18" s="43"/>
      <c r="AF18" s="45"/>
      <c r="AG18" s="45"/>
      <c r="AH18" s="101">
        <f t="shared" si="0"/>
        <v>0</v>
      </c>
    </row>
    <row r="19" spans="1:34" s="37" customFormat="1" ht="25.5" x14ac:dyDescent="0.2">
      <c r="A19" s="122" t="s">
        <v>46</v>
      </c>
      <c r="B19" s="43"/>
      <c r="C19" s="43"/>
      <c r="D19" s="43"/>
      <c r="E19" s="213"/>
      <c r="F19" s="43"/>
      <c r="G19" s="44"/>
      <c r="H19" s="45"/>
      <c r="I19" s="45"/>
      <c r="J19" s="58"/>
      <c r="K19" s="43"/>
      <c r="L19" s="45"/>
      <c r="M19" s="45"/>
      <c r="N19" s="46"/>
      <c r="O19" s="55"/>
      <c r="P19" s="45">
        <v>75300</v>
      </c>
      <c r="Q19" s="162"/>
      <c r="R19" s="123"/>
      <c r="S19" s="43"/>
      <c r="T19" s="45"/>
      <c r="U19" s="45"/>
      <c r="V19" s="45"/>
      <c r="W19" s="45"/>
      <c r="X19" s="46"/>
      <c r="Y19" s="146"/>
      <c r="Z19" s="45"/>
      <c r="AA19" s="46"/>
      <c r="AB19" s="146"/>
      <c r="AC19" s="45"/>
      <c r="AD19" s="45"/>
      <c r="AE19" s="43"/>
      <c r="AF19" s="45"/>
      <c r="AG19" s="45"/>
      <c r="AH19" s="101">
        <f t="shared" si="0"/>
        <v>0</v>
      </c>
    </row>
    <row r="20" spans="1:34" s="37" customFormat="1" x14ac:dyDescent="0.2">
      <c r="A20" s="128" t="s">
        <v>47</v>
      </c>
      <c r="B20" s="43"/>
      <c r="C20" s="43"/>
      <c r="D20" s="43"/>
      <c r="E20" s="213"/>
      <c r="F20" s="43"/>
      <c r="G20" s="44"/>
      <c r="H20" s="45"/>
      <c r="I20" s="45">
        <v>38440.6</v>
      </c>
      <c r="J20" s="58"/>
      <c r="K20" s="43"/>
      <c r="L20" s="45"/>
      <c r="M20" s="45">
        <v>56838</v>
      </c>
      <c r="N20" s="46"/>
      <c r="O20" s="55"/>
      <c r="P20" s="45"/>
      <c r="Q20" s="146"/>
      <c r="R20" s="58">
        <v>95278</v>
      </c>
      <c r="S20" s="43"/>
      <c r="T20" s="45"/>
      <c r="U20" s="45"/>
      <c r="V20" s="45"/>
      <c r="W20" s="45"/>
      <c r="X20" s="46"/>
      <c r="Y20" s="146"/>
      <c r="Z20" s="45"/>
      <c r="AA20" s="46"/>
      <c r="AB20" s="146"/>
      <c r="AC20" s="45"/>
      <c r="AD20" s="45"/>
      <c r="AE20" s="43"/>
      <c r="AF20" s="45"/>
      <c r="AG20" s="45"/>
      <c r="AH20" s="101">
        <f t="shared" si="0"/>
        <v>0.60000000000582077</v>
      </c>
    </row>
    <row r="21" spans="1:34" s="37" customFormat="1" x14ac:dyDescent="0.2">
      <c r="A21" s="128" t="s">
        <v>48</v>
      </c>
      <c r="B21" s="43"/>
      <c r="C21" s="43"/>
      <c r="D21" s="43"/>
      <c r="E21" s="213"/>
      <c r="F21" s="43"/>
      <c r="G21" s="44"/>
      <c r="H21" s="45"/>
      <c r="I21" s="45"/>
      <c r="J21" s="58"/>
      <c r="K21" s="43"/>
      <c r="L21" s="45"/>
      <c r="M21" s="45">
        <v>34440</v>
      </c>
      <c r="N21" s="46">
        <v>0</v>
      </c>
      <c r="O21" s="55"/>
      <c r="P21" s="45"/>
      <c r="Q21" s="146"/>
      <c r="R21" s="58">
        <v>34440</v>
      </c>
      <c r="S21" s="43"/>
      <c r="T21" s="45"/>
      <c r="U21" s="45"/>
      <c r="V21" s="45"/>
      <c r="W21" s="45"/>
      <c r="X21" s="46"/>
      <c r="Y21" s="146"/>
      <c r="Z21" s="45"/>
      <c r="AA21" s="46"/>
      <c r="AB21" s="146"/>
      <c r="AC21" s="45"/>
      <c r="AD21" s="45"/>
      <c r="AE21" s="43"/>
      <c r="AF21" s="45"/>
      <c r="AG21" s="45"/>
      <c r="AH21" s="101">
        <f t="shared" si="0"/>
        <v>0</v>
      </c>
    </row>
    <row r="22" spans="1:34" s="37" customFormat="1" ht="25.5" x14ac:dyDescent="0.2">
      <c r="A22" s="122" t="s">
        <v>49</v>
      </c>
      <c r="B22" s="43"/>
      <c r="C22" s="43"/>
      <c r="D22" s="43"/>
      <c r="E22" s="213"/>
      <c r="F22" s="43"/>
      <c r="G22" s="44"/>
      <c r="H22" s="45"/>
      <c r="I22" s="45"/>
      <c r="J22" s="58"/>
      <c r="K22" s="43"/>
      <c r="L22" s="45"/>
      <c r="M22" s="45"/>
      <c r="N22" s="46"/>
      <c r="O22" s="55"/>
      <c r="P22" s="45"/>
      <c r="Q22" s="162"/>
      <c r="R22" s="123"/>
      <c r="S22" s="43"/>
      <c r="T22" s="45"/>
      <c r="U22" s="45"/>
      <c r="V22" s="45"/>
      <c r="W22" s="45"/>
      <c r="X22" s="46"/>
      <c r="Y22" s="146"/>
      <c r="Z22" s="45"/>
      <c r="AA22" s="46"/>
      <c r="AB22" s="146"/>
      <c r="AC22" s="45"/>
      <c r="AD22" s="45"/>
      <c r="AE22" s="43"/>
      <c r="AF22" s="45"/>
      <c r="AG22" s="45"/>
      <c r="AH22" s="101">
        <f t="shared" si="0"/>
        <v>0</v>
      </c>
    </row>
    <row r="23" spans="1:34" s="37" customFormat="1" ht="38.25" x14ac:dyDescent="0.2">
      <c r="A23" s="122" t="s">
        <v>50</v>
      </c>
      <c r="B23" s="43"/>
      <c r="C23" s="43"/>
      <c r="D23" s="43"/>
      <c r="E23" s="213"/>
      <c r="F23" s="43"/>
      <c r="G23" s="44"/>
      <c r="H23" s="45"/>
      <c r="I23" s="45"/>
      <c r="J23" s="58"/>
      <c r="K23" s="43"/>
      <c r="L23" s="45"/>
      <c r="M23" s="45"/>
      <c r="N23" s="46"/>
      <c r="O23" s="55"/>
      <c r="P23" s="45"/>
      <c r="Q23" s="162"/>
      <c r="R23" s="123"/>
      <c r="S23" s="43"/>
      <c r="T23" s="45"/>
      <c r="U23" s="45"/>
      <c r="V23" s="45"/>
      <c r="W23" s="45"/>
      <c r="X23" s="46"/>
      <c r="Y23" s="146"/>
      <c r="Z23" s="45"/>
      <c r="AA23" s="46"/>
      <c r="AB23" s="146"/>
      <c r="AC23" s="45"/>
      <c r="AD23" s="45"/>
      <c r="AE23" s="43"/>
      <c r="AF23" s="45"/>
      <c r="AG23" s="45"/>
      <c r="AH23" s="101">
        <f t="shared" si="0"/>
        <v>0</v>
      </c>
    </row>
    <row r="24" spans="1:34" s="37" customFormat="1" ht="25.5" x14ac:dyDescent="0.2">
      <c r="A24" s="122" t="s">
        <v>51</v>
      </c>
      <c r="B24" s="43"/>
      <c r="C24" s="43"/>
      <c r="D24" s="43"/>
      <c r="E24" s="213"/>
      <c r="F24" s="43"/>
      <c r="G24" s="44"/>
      <c r="H24" s="45"/>
      <c r="I24" s="45"/>
      <c r="J24" s="58"/>
      <c r="K24" s="43"/>
      <c r="L24" s="45"/>
      <c r="M24" s="45"/>
      <c r="N24" s="46"/>
      <c r="O24" s="55"/>
      <c r="P24" s="45"/>
      <c r="Q24" s="162"/>
      <c r="R24" s="123"/>
      <c r="S24" s="43"/>
      <c r="T24" s="45"/>
      <c r="U24" s="45"/>
      <c r="V24" s="45"/>
      <c r="W24" s="45"/>
      <c r="X24" s="46"/>
      <c r="Y24" s="146"/>
      <c r="Z24" s="45"/>
      <c r="AA24" s="46"/>
      <c r="AB24" s="146"/>
      <c r="AC24" s="45"/>
      <c r="AD24" s="45"/>
      <c r="AE24" s="43"/>
      <c r="AF24" s="45"/>
      <c r="AG24" s="45"/>
      <c r="AH24" s="101">
        <f t="shared" si="0"/>
        <v>0</v>
      </c>
    </row>
    <row r="25" spans="1:34" s="37" customFormat="1" ht="25.5" x14ac:dyDescent="0.2">
      <c r="A25" s="122" t="s">
        <v>52</v>
      </c>
      <c r="B25" s="43"/>
      <c r="C25" s="43"/>
      <c r="D25" s="43"/>
      <c r="E25" s="213"/>
      <c r="F25" s="43"/>
      <c r="G25" s="44"/>
      <c r="H25" s="45"/>
      <c r="I25" s="45">
        <v>0</v>
      </c>
      <c r="J25" s="58"/>
      <c r="K25" s="43"/>
      <c r="L25" s="45"/>
      <c r="M25" s="45"/>
      <c r="N25" s="46"/>
      <c r="O25" s="55"/>
      <c r="P25" s="45"/>
      <c r="Q25" s="162"/>
      <c r="R25" s="123"/>
      <c r="S25" s="43"/>
      <c r="T25" s="45"/>
      <c r="U25" s="45"/>
      <c r="V25" s="45"/>
      <c r="W25" s="45"/>
      <c r="X25" s="46"/>
      <c r="Y25" s="146"/>
      <c r="Z25" s="45"/>
      <c r="AA25" s="46"/>
      <c r="AB25" s="146"/>
      <c r="AC25" s="45"/>
      <c r="AD25" s="45"/>
      <c r="AE25" s="43"/>
      <c r="AF25" s="45"/>
      <c r="AG25" s="45"/>
      <c r="AH25" s="101">
        <f t="shared" si="0"/>
        <v>0</v>
      </c>
    </row>
    <row r="26" spans="1:34" s="37" customFormat="1" ht="25.5" x14ac:dyDescent="0.2">
      <c r="A26" s="122" t="s">
        <v>53</v>
      </c>
      <c r="B26" s="43"/>
      <c r="C26" s="43"/>
      <c r="D26" s="43"/>
      <c r="E26" s="213"/>
      <c r="F26" s="43"/>
      <c r="G26" s="44"/>
      <c r="H26" s="45"/>
      <c r="I26" s="45"/>
      <c r="J26" s="58"/>
      <c r="K26" s="43"/>
      <c r="L26" s="45"/>
      <c r="M26" s="45"/>
      <c r="N26" s="46"/>
      <c r="O26" s="55"/>
      <c r="P26" s="45"/>
      <c r="Q26" s="162"/>
      <c r="R26" s="123"/>
      <c r="S26" s="43"/>
      <c r="T26" s="45"/>
      <c r="U26" s="45"/>
      <c r="V26" s="45"/>
      <c r="W26" s="45"/>
      <c r="X26" s="46"/>
      <c r="Y26" s="146"/>
      <c r="Z26" s="45"/>
      <c r="AA26" s="46"/>
      <c r="AB26" s="146"/>
      <c r="AC26" s="45"/>
      <c r="AD26" s="45"/>
      <c r="AE26" s="43"/>
      <c r="AF26" s="45"/>
      <c r="AG26" s="45"/>
      <c r="AH26" s="101">
        <f t="shared" si="0"/>
        <v>0</v>
      </c>
    </row>
    <row r="27" spans="1:34" s="37" customFormat="1" ht="25.5" x14ac:dyDescent="0.2">
      <c r="A27" s="128" t="s">
        <v>54</v>
      </c>
      <c r="B27" s="43"/>
      <c r="C27" s="43"/>
      <c r="D27" s="43"/>
      <c r="E27" s="213"/>
      <c r="F27" s="43"/>
      <c r="G27" s="44"/>
      <c r="H27" s="45"/>
      <c r="I27" s="45"/>
      <c r="J27" s="58"/>
      <c r="K27" s="43"/>
      <c r="L27" s="45"/>
      <c r="M27" s="45">
        <v>109777</v>
      </c>
      <c r="N27" s="46"/>
      <c r="O27" s="55"/>
      <c r="P27" s="45"/>
      <c r="Q27" s="146">
        <v>0</v>
      </c>
      <c r="R27" s="58">
        <v>109778</v>
      </c>
      <c r="S27" s="43"/>
      <c r="T27" s="45"/>
      <c r="U27" s="45"/>
      <c r="V27" s="45"/>
      <c r="W27" s="45"/>
      <c r="X27" s="46"/>
      <c r="Y27" s="146"/>
      <c r="Z27" s="45"/>
      <c r="AA27" s="46"/>
      <c r="AB27" s="146"/>
      <c r="AC27" s="45"/>
      <c r="AD27" s="45"/>
      <c r="AE27" s="43"/>
      <c r="AF27" s="45"/>
      <c r="AG27" s="45"/>
      <c r="AH27" s="101">
        <f t="shared" si="0"/>
        <v>-1</v>
      </c>
    </row>
    <row r="28" spans="1:34" s="37" customFormat="1" ht="25.5" x14ac:dyDescent="0.2">
      <c r="A28" s="128" t="s">
        <v>55</v>
      </c>
      <c r="B28" s="43"/>
      <c r="C28" s="43"/>
      <c r="D28" s="43"/>
      <c r="E28" s="213"/>
      <c r="F28" s="43"/>
      <c r="G28" s="44"/>
      <c r="H28" s="45"/>
      <c r="I28" s="45">
        <v>42300</v>
      </c>
      <c r="J28" s="58"/>
      <c r="K28" s="43"/>
      <c r="L28" s="45"/>
      <c r="M28" s="45">
        <v>70091</v>
      </c>
      <c r="N28" s="46"/>
      <c r="O28" s="55"/>
      <c r="P28" s="45"/>
      <c r="Q28" s="146"/>
      <c r="R28" s="58">
        <v>112391</v>
      </c>
      <c r="S28" s="43"/>
      <c r="T28" s="45"/>
      <c r="U28" s="45"/>
      <c r="V28" s="45"/>
      <c r="W28" s="45"/>
      <c r="X28" s="46"/>
      <c r="Y28" s="146"/>
      <c r="Z28" s="45"/>
      <c r="AA28" s="46"/>
      <c r="AB28" s="146"/>
      <c r="AC28" s="45"/>
      <c r="AD28" s="45"/>
      <c r="AE28" s="43"/>
      <c r="AF28" s="45"/>
      <c r="AG28" s="45"/>
      <c r="AH28" s="101">
        <f t="shared" si="0"/>
        <v>0</v>
      </c>
    </row>
    <row r="29" spans="1:34" s="37" customFormat="1" ht="25.5" x14ac:dyDescent="0.2">
      <c r="A29" s="122" t="s">
        <v>56</v>
      </c>
      <c r="B29" s="43"/>
      <c r="C29" s="43"/>
      <c r="D29" s="43"/>
      <c r="E29" s="213"/>
      <c r="F29" s="43"/>
      <c r="G29" s="44"/>
      <c r="H29" s="45"/>
      <c r="I29" s="45"/>
      <c r="J29" s="58"/>
      <c r="K29" s="43"/>
      <c r="L29" s="45"/>
      <c r="M29" s="45"/>
      <c r="N29" s="46"/>
      <c r="O29" s="55"/>
      <c r="P29" s="45"/>
      <c r="Q29" s="162"/>
      <c r="R29" s="123"/>
      <c r="S29" s="43"/>
      <c r="T29" s="45"/>
      <c r="U29" s="45"/>
      <c r="V29" s="45"/>
      <c r="W29" s="45"/>
      <c r="X29" s="46"/>
      <c r="Y29" s="146"/>
      <c r="Z29" s="45"/>
      <c r="AA29" s="46"/>
      <c r="AB29" s="146"/>
      <c r="AC29" s="45"/>
      <c r="AD29" s="45"/>
      <c r="AE29" s="43"/>
      <c r="AF29" s="45"/>
      <c r="AG29" s="45"/>
      <c r="AH29" s="101">
        <f t="shared" si="0"/>
        <v>0</v>
      </c>
    </row>
    <row r="30" spans="1:34" s="37" customFormat="1" x14ac:dyDescent="0.2">
      <c r="A30" s="128" t="s">
        <v>57</v>
      </c>
      <c r="B30" s="43"/>
      <c r="C30" s="43"/>
      <c r="D30" s="43"/>
      <c r="E30" s="213"/>
      <c r="F30" s="43"/>
      <c r="G30" s="44"/>
      <c r="H30" s="45"/>
      <c r="I30" s="45">
        <v>0</v>
      </c>
      <c r="J30" s="58"/>
      <c r="K30" s="43"/>
      <c r="L30" s="45"/>
      <c r="M30" s="45">
        <v>102513</v>
      </c>
      <c r="N30" s="46"/>
      <c r="O30" s="55"/>
      <c r="P30" s="45"/>
      <c r="Q30" s="146">
        <v>0</v>
      </c>
      <c r="R30" s="58">
        <v>102513</v>
      </c>
      <c r="S30" s="43"/>
      <c r="T30" s="45"/>
      <c r="U30" s="45"/>
      <c r="V30" s="45"/>
      <c r="W30" s="45"/>
      <c r="X30" s="46"/>
      <c r="Y30" s="146"/>
      <c r="Z30" s="45"/>
      <c r="AA30" s="46"/>
      <c r="AB30" s="146"/>
      <c r="AC30" s="45"/>
      <c r="AD30" s="45"/>
      <c r="AE30" s="43"/>
      <c r="AF30" s="45"/>
      <c r="AG30" s="45"/>
      <c r="AH30" s="101">
        <f t="shared" si="0"/>
        <v>0</v>
      </c>
    </row>
    <row r="31" spans="1:34" s="37" customFormat="1" x14ac:dyDescent="0.2">
      <c r="A31" s="128" t="s">
        <v>58</v>
      </c>
      <c r="B31" s="43"/>
      <c r="C31" s="43"/>
      <c r="D31" s="43"/>
      <c r="E31" s="213"/>
      <c r="F31" s="43"/>
      <c r="G31" s="44"/>
      <c r="H31" s="45"/>
      <c r="I31" s="45">
        <v>3930</v>
      </c>
      <c r="J31" s="58"/>
      <c r="K31" s="43"/>
      <c r="L31" s="45"/>
      <c r="M31" s="45"/>
      <c r="N31" s="46">
        <v>3930</v>
      </c>
      <c r="O31" s="55"/>
      <c r="P31" s="45"/>
      <c r="Q31" s="146"/>
      <c r="R31" s="58"/>
      <c r="S31" s="43"/>
      <c r="T31" s="45"/>
      <c r="U31" s="45"/>
      <c r="V31" s="45"/>
      <c r="W31" s="45"/>
      <c r="X31" s="46"/>
      <c r="Y31" s="146"/>
      <c r="Z31" s="45"/>
      <c r="AA31" s="46"/>
      <c r="AB31" s="146"/>
      <c r="AC31" s="45"/>
      <c r="AD31" s="45"/>
      <c r="AE31" s="43"/>
      <c r="AF31" s="45"/>
      <c r="AG31" s="45"/>
      <c r="AH31" s="101">
        <f t="shared" si="0"/>
        <v>0</v>
      </c>
    </row>
    <row r="32" spans="1:34" s="37" customFormat="1" x14ac:dyDescent="0.2">
      <c r="A32" s="128" t="s">
        <v>59</v>
      </c>
      <c r="B32" s="43"/>
      <c r="C32" s="43"/>
      <c r="D32" s="43"/>
      <c r="E32" s="213"/>
      <c r="F32" s="43"/>
      <c r="G32" s="44"/>
      <c r="H32" s="45"/>
      <c r="I32" s="45">
        <v>3273</v>
      </c>
      <c r="J32" s="58"/>
      <c r="K32" s="43"/>
      <c r="L32" s="45"/>
      <c r="M32" s="45"/>
      <c r="N32" s="46">
        <v>3273</v>
      </c>
      <c r="O32" s="55"/>
      <c r="P32" s="45"/>
      <c r="Q32" s="146"/>
      <c r="R32" s="58"/>
      <c r="S32" s="43"/>
      <c r="T32" s="45"/>
      <c r="U32" s="45"/>
      <c r="V32" s="45"/>
      <c r="W32" s="45"/>
      <c r="X32" s="46"/>
      <c r="Y32" s="146"/>
      <c r="Z32" s="45"/>
      <c r="AA32" s="46"/>
      <c r="AB32" s="146"/>
      <c r="AC32" s="45"/>
      <c r="AD32" s="45"/>
      <c r="AE32" s="43"/>
      <c r="AF32" s="45"/>
      <c r="AG32" s="45"/>
      <c r="AH32" s="101">
        <f t="shared" si="0"/>
        <v>0</v>
      </c>
    </row>
    <row r="33" spans="1:34" s="37" customFormat="1" x14ac:dyDescent="0.2">
      <c r="A33" s="128" t="s">
        <v>60</v>
      </c>
      <c r="B33" s="43"/>
      <c r="C33" s="43"/>
      <c r="D33" s="43"/>
      <c r="E33" s="213"/>
      <c r="F33" s="43"/>
      <c r="G33" s="44"/>
      <c r="H33" s="45"/>
      <c r="I33" s="45">
        <v>1667</v>
      </c>
      <c r="J33" s="58"/>
      <c r="K33" s="43"/>
      <c r="L33" s="45"/>
      <c r="M33" s="45"/>
      <c r="N33" s="46">
        <v>1667</v>
      </c>
      <c r="O33" s="55"/>
      <c r="P33" s="45"/>
      <c r="Q33" s="146"/>
      <c r="R33" s="58"/>
      <c r="S33" s="43"/>
      <c r="T33" s="45"/>
      <c r="U33" s="45"/>
      <c r="V33" s="45"/>
      <c r="W33" s="45"/>
      <c r="X33" s="46"/>
      <c r="Y33" s="146"/>
      <c r="Z33" s="45"/>
      <c r="AA33" s="46"/>
      <c r="AB33" s="146"/>
      <c r="AC33" s="45"/>
      <c r="AD33" s="45"/>
      <c r="AE33" s="43"/>
      <c r="AF33" s="45"/>
      <c r="AG33" s="45"/>
      <c r="AH33" s="101">
        <f t="shared" si="0"/>
        <v>0</v>
      </c>
    </row>
    <row r="34" spans="1:34" s="37" customFormat="1" x14ac:dyDescent="0.2">
      <c r="A34" s="147" t="s">
        <v>209</v>
      </c>
      <c r="B34" s="43"/>
      <c r="C34" s="43"/>
      <c r="D34" s="43"/>
      <c r="E34" s="213"/>
      <c r="F34" s="43"/>
      <c r="G34" s="44"/>
      <c r="H34" s="45"/>
      <c r="I34" s="45"/>
      <c r="J34" s="58"/>
      <c r="K34" s="43"/>
      <c r="L34" s="45"/>
      <c r="M34" s="45"/>
      <c r="N34" s="46"/>
      <c r="O34" s="55"/>
      <c r="P34" s="45"/>
      <c r="Q34" s="146">
        <v>313000</v>
      </c>
      <c r="R34" s="58">
        <v>43300</v>
      </c>
      <c r="S34" s="43"/>
      <c r="T34" s="45"/>
      <c r="U34" s="45"/>
      <c r="V34" s="45">
        <v>385000</v>
      </c>
      <c r="W34" s="45">
        <v>269700</v>
      </c>
      <c r="X34" s="46">
        <v>98300</v>
      </c>
      <c r="Y34" s="146"/>
      <c r="Z34" s="45">
        <v>275000</v>
      </c>
      <c r="AA34" s="46">
        <v>435000</v>
      </c>
      <c r="AB34" s="146"/>
      <c r="AC34" s="45">
        <v>223300</v>
      </c>
      <c r="AD34" s="45">
        <v>235000</v>
      </c>
      <c r="AE34" s="43"/>
      <c r="AF34" s="45"/>
      <c r="AG34" s="45">
        <v>115000</v>
      </c>
      <c r="AH34" s="101"/>
    </row>
    <row r="35" spans="1:34" ht="25.5" x14ac:dyDescent="0.2">
      <c r="A35" s="16" t="s">
        <v>26</v>
      </c>
      <c r="B35" s="23"/>
      <c r="C35" s="23"/>
      <c r="D35" s="23"/>
      <c r="E35" s="214"/>
      <c r="F35" s="23"/>
      <c r="G35" s="6"/>
      <c r="H35" s="6">
        <v>807</v>
      </c>
      <c r="I35" s="6"/>
      <c r="J35" s="59"/>
      <c r="K35" s="31"/>
      <c r="L35" s="7">
        <v>130993</v>
      </c>
      <c r="M35" s="7"/>
      <c r="N35" s="32"/>
      <c r="O35" s="131"/>
      <c r="P35" s="6">
        <v>277178</v>
      </c>
      <c r="Q35" s="189"/>
      <c r="R35" s="59"/>
      <c r="S35" s="23"/>
      <c r="T35" s="6"/>
      <c r="U35" s="6"/>
      <c r="V35" s="6"/>
      <c r="W35" s="6"/>
      <c r="X35" s="24"/>
      <c r="Y35" s="159"/>
      <c r="Z35" s="6"/>
      <c r="AA35" s="24"/>
      <c r="AB35" s="159"/>
      <c r="AC35" s="6"/>
      <c r="AD35" s="6"/>
      <c r="AE35" s="23"/>
      <c r="AF35" s="6"/>
      <c r="AG35" s="6"/>
      <c r="AH35" s="101">
        <f t="shared" ref="AH35:AH98" si="1">C35+D35+I35+M35+Q35+U35-E35-J35-N35-R35-W35</f>
        <v>0</v>
      </c>
    </row>
    <row r="36" spans="1:34" ht="38.25" x14ac:dyDescent="0.2">
      <c r="A36" s="16" t="s">
        <v>25</v>
      </c>
      <c r="B36" s="23"/>
      <c r="C36" s="23"/>
      <c r="D36" s="23"/>
      <c r="E36" s="214"/>
      <c r="F36" s="23"/>
      <c r="G36" s="6"/>
      <c r="H36" s="6">
        <v>27298</v>
      </c>
      <c r="I36" s="6"/>
      <c r="J36" s="59"/>
      <c r="K36" s="31"/>
      <c r="L36" s="7">
        <v>29993</v>
      </c>
      <c r="M36" s="7"/>
      <c r="N36" s="32"/>
      <c r="O36" s="131"/>
      <c r="P36" s="6">
        <v>64999</v>
      </c>
      <c r="Q36" s="189"/>
      <c r="R36" s="59"/>
      <c r="S36" s="23"/>
      <c r="T36" s="6">
        <v>3710</v>
      </c>
      <c r="U36" s="6"/>
      <c r="V36" s="6"/>
      <c r="W36" s="6"/>
      <c r="X36" s="24"/>
      <c r="Y36" s="159"/>
      <c r="Z36" s="6"/>
      <c r="AA36" s="24"/>
      <c r="AB36" s="159"/>
      <c r="AC36" s="6"/>
      <c r="AD36" s="6"/>
      <c r="AE36" s="23"/>
      <c r="AF36" s="6"/>
      <c r="AG36" s="6"/>
      <c r="AH36" s="101">
        <f t="shared" si="1"/>
        <v>0</v>
      </c>
    </row>
    <row r="37" spans="1:34" s="8" customFormat="1" x14ac:dyDescent="0.2">
      <c r="A37" s="17" t="s">
        <v>31</v>
      </c>
      <c r="B37" s="25">
        <f t="shared" ref="B37:T37" si="2">SUM(B3:B36)</f>
        <v>0</v>
      </c>
      <c r="C37" s="25">
        <f t="shared" si="2"/>
        <v>315732.48576000001</v>
      </c>
      <c r="D37" s="25">
        <f t="shared" si="2"/>
        <v>143427.81</v>
      </c>
      <c r="E37" s="142">
        <f t="shared" si="2"/>
        <v>206844.18</v>
      </c>
      <c r="F37" s="199">
        <f t="shared" si="2"/>
        <v>0</v>
      </c>
      <c r="G37" s="191">
        <f t="shared" si="2"/>
        <v>0</v>
      </c>
      <c r="H37" s="191">
        <f t="shared" si="2"/>
        <v>28105</v>
      </c>
      <c r="I37" s="191">
        <f t="shared" si="2"/>
        <v>255456.65000000002</v>
      </c>
      <c r="J37" s="218">
        <f t="shared" si="2"/>
        <v>287579.68000000005</v>
      </c>
      <c r="K37" s="199">
        <f t="shared" si="2"/>
        <v>0</v>
      </c>
      <c r="L37" s="191">
        <f t="shared" si="2"/>
        <v>160986</v>
      </c>
      <c r="M37" s="191">
        <f t="shared" si="2"/>
        <v>502750</v>
      </c>
      <c r="N37" s="200">
        <f t="shared" si="2"/>
        <v>178322</v>
      </c>
      <c r="O37" s="169">
        <f t="shared" si="2"/>
        <v>0</v>
      </c>
      <c r="P37" s="191">
        <f t="shared" si="2"/>
        <v>417477</v>
      </c>
      <c r="Q37" s="161">
        <f t="shared" si="2"/>
        <v>420500</v>
      </c>
      <c r="R37" s="60">
        <f t="shared" si="2"/>
        <v>583300</v>
      </c>
      <c r="S37" s="199"/>
      <c r="T37" s="191">
        <f t="shared" si="2"/>
        <v>3710</v>
      </c>
      <c r="U37" s="191">
        <f>SUM(U3:U36)</f>
        <v>0</v>
      </c>
      <c r="V37" s="191">
        <f>SUM(V3:V36)</f>
        <v>588700</v>
      </c>
      <c r="W37" s="191">
        <f>SUM(W3:W36)</f>
        <v>377200</v>
      </c>
      <c r="X37" s="200">
        <f>SUM(X3:X36)</f>
        <v>98300</v>
      </c>
      <c r="Y37" s="191">
        <f t="shared" ref="Y37:AG37" si="3">SUM(Y3:Y36)</f>
        <v>0</v>
      </c>
      <c r="Z37" s="191">
        <f t="shared" si="3"/>
        <v>421500</v>
      </c>
      <c r="AA37" s="200">
        <f t="shared" si="3"/>
        <v>638700</v>
      </c>
      <c r="AB37" s="15">
        <f t="shared" si="3"/>
        <v>0</v>
      </c>
      <c r="AC37" s="60">
        <f t="shared" si="3"/>
        <v>223300</v>
      </c>
      <c r="AD37" s="60">
        <f t="shared" si="3"/>
        <v>381500</v>
      </c>
      <c r="AE37" s="60">
        <f t="shared" si="3"/>
        <v>0</v>
      </c>
      <c r="AF37" s="60">
        <f t="shared" si="3"/>
        <v>0</v>
      </c>
      <c r="AG37" s="60">
        <f t="shared" si="3"/>
        <v>115000</v>
      </c>
      <c r="AH37" s="101">
        <f t="shared" si="1"/>
        <v>4621.0857600001618</v>
      </c>
    </row>
    <row r="38" spans="1:34" s="37" customFormat="1" ht="25.5" x14ac:dyDescent="0.2">
      <c r="A38" s="128" t="s">
        <v>101</v>
      </c>
      <c r="B38" s="43"/>
      <c r="C38" s="43"/>
      <c r="D38" s="43">
        <v>9288.98</v>
      </c>
      <c r="E38" s="213">
        <v>0</v>
      </c>
      <c r="F38" s="43"/>
      <c r="G38" s="44"/>
      <c r="H38" s="45"/>
      <c r="I38" s="45">
        <v>247.28</v>
      </c>
      <c r="J38" s="58">
        <v>9490.67</v>
      </c>
      <c r="K38" s="43"/>
      <c r="L38" s="45"/>
      <c r="M38" s="45"/>
      <c r="N38" s="46"/>
      <c r="O38" s="55"/>
      <c r="P38" s="45"/>
      <c r="Q38" s="55"/>
      <c r="R38" s="58"/>
      <c r="S38" s="43"/>
      <c r="T38" s="45"/>
      <c r="U38" s="45"/>
      <c r="V38" s="45"/>
      <c r="W38" s="45"/>
      <c r="X38" s="46"/>
      <c r="Y38" s="146"/>
      <c r="Z38" s="45"/>
      <c r="AA38" s="46"/>
      <c r="AB38" s="146"/>
      <c r="AC38" s="45"/>
      <c r="AD38" s="45"/>
      <c r="AE38" s="43"/>
      <c r="AF38" s="45"/>
      <c r="AG38" s="45"/>
      <c r="AH38" s="101">
        <f t="shared" si="1"/>
        <v>45.590000000000146</v>
      </c>
    </row>
    <row r="39" spans="1:34" s="37" customFormat="1" x14ac:dyDescent="0.2">
      <c r="A39" s="128" t="s">
        <v>61</v>
      </c>
      <c r="B39" s="43"/>
      <c r="C39" s="43">
        <v>9399.1217199999992</v>
      </c>
      <c r="D39" s="43">
        <v>3466.25</v>
      </c>
      <c r="E39" s="213"/>
      <c r="F39" s="43"/>
      <c r="G39" s="44"/>
      <c r="H39" s="45"/>
      <c r="I39" s="45">
        <v>5582.49</v>
      </c>
      <c r="J39" s="58">
        <v>18447.86</v>
      </c>
      <c r="K39" s="43"/>
      <c r="L39" s="45"/>
      <c r="M39" s="45"/>
      <c r="N39" s="46"/>
      <c r="O39" s="55"/>
      <c r="P39" s="45"/>
      <c r="Q39" s="55"/>
      <c r="R39" s="58"/>
      <c r="S39" s="43"/>
      <c r="T39" s="45"/>
      <c r="U39" s="45"/>
      <c r="V39" s="45"/>
      <c r="W39" s="45"/>
      <c r="X39" s="46"/>
      <c r="Y39" s="146"/>
      <c r="Z39" s="45"/>
      <c r="AA39" s="46"/>
      <c r="AB39" s="146"/>
      <c r="AC39" s="45"/>
      <c r="AD39" s="45"/>
      <c r="AE39" s="43"/>
      <c r="AF39" s="45"/>
      <c r="AG39" s="45"/>
      <c r="AH39" s="101">
        <f t="shared" si="1"/>
        <v>1.720000000204891E-3</v>
      </c>
    </row>
    <row r="40" spans="1:34" s="37" customFormat="1" x14ac:dyDescent="0.2">
      <c r="A40" s="128" t="s">
        <v>62</v>
      </c>
      <c r="B40" s="43"/>
      <c r="C40" s="43">
        <v>14752.691030000002</v>
      </c>
      <c r="D40" s="43">
        <v>8810.76</v>
      </c>
      <c r="E40" s="213">
        <v>289.41000000000003</v>
      </c>
      <c r="F40" s="43"/>
      <c r="G40" s="44"/>
      <c r="H40" s="45"/>
      <c r="I40" s="45"/>
      <c r="J40" s="58">
        <v>23274.1</v>
      </c>
      <c r="K40" s="43"/>
      <c r="L40" s="45"/>
      <c r="M40" s="45"/>
      <c r="N40" s="46"/>
      <c r="O40" s="55"/>
      <c r="P40" s="45"/>
      <c r="Q40" s="55"/>
      <c r="R40" s="58"/>
      <c r="S40" s="43"/>
      <c r="T40" s="45"/>
      <c r="U40" s="45"/>
      <c r="V40" s="45"/>
      <c r="W40" s="45"/>
      <c r="X40" s="46"/>
      <c r="Y40" s="146"/>
      <c r="Z40" s="45"/>
      <c r="AA40" s="46"/>
      <c r="AB40" s="146"/>
      <c r="AC40" s="45"/>
      <c r="AD40" s="45"/>
      <c r="AE40" s="43"/>
      <c r="AF40" s="45"/>
      <c r="AG40" s="45"/>
      <c r="AH40" s="101">
        <f t="shared" si="1"/>
        <v>-5.8969999994587852E-2</v>
      </c>
    </row>
    <row r="41" spans="1:34" s="37" customFormat="1" x14ac:dyDescent="0.2">
      <c r="A41" s="128" t="s">
        <v>63</v>
      </c>
      <c r="B41" s="43"/>
      <c r="C41" s="43">
        <v>21763.88624</v>
      </c>
      <c r="D41" s="43"/>
      <c r="E41" s="213">
        <v>21763.89</v>
      </c>
      <c r="F41" s="43"/>
      <c r="G41" s="44"/>
      <c r="H41" s="45"/>
      <c r="I41" s="45"/>
      <c r="J41" s="58"/>
      <c r="K41" s="43"/>
      <c r="L41" s="45"/>
      <c r="M41" s="45"/>
      <c r="N41" s="46"/>
      <c r="O41" s="55"/>
      <c r="P41" s="45"/>
      <c r="Q41" s="55"/>
      <c r="R41" s="58"/>
      <c r="S41" s="43"/>
      <c r="T41" s="45"/>
      <c r="U41" s="45"/>
      <c r="V41" s="45"/>
      <c r="W41" s="45"/>
      <c r="X41" s="46"/>
      <c r="Y41" s="146"/>
      <c r="Z41" s="45"/>
      <c r="AA41" s="46"/>
      <c r="AB41" s="146"/>
      <c r="AC41" s="45"/>
      <c r="AD41" s="45"/>
      <c r="AE41" s="43"/>
      <c r="AF41" s="45"/>
      <c r="AG41" s="45"/>
      <c r="AH41" s="101">
        <f t="shared" si="1"/>
        <v>-3.7599999996018596E-3</v>
      </c>
    </row>
    <row r="42" spans="1:34" s="37" customFormat="1" ht="25.5" x14ac:dyDescent="0.2">
      <c r="A42" s="128" t="s">
        <v>64</v>
      </c>
      <c r="B42" s="43"/>
      <c r="C42" s="43">
        <v>53656.974830000006</v>
      </c>
      <c r="D42" s="43">
        <v>22429.23</v>
      </c>
      <c r="E42" s="213">
        <v>76086.210000000006</v>
      </c>
      <c r="F42" s="43"/>
      <c r="G42" s="44"/>
      <c r="H42" s="45"/>
      <c r="I42" s="45"/>
      <c r="J42" s="58"/>
      <c r="K42" s="43"/>
      <c r="L42" s="45"/>
      <c r="M42" s="45"/>
      <c r="N42" s="46"/>
      <c r="O42" s="55"/>
      <c r="P42" s="45"/>
      <c r="Q42" s="55"/>
      <c r="R42" s="58"/>
      <c r="S42" s="43"/>
      <c r="T42" s="45"/>
      <c r="U42" s="45"/>
      <c r="V42" s="45"/>
      <c r="W42" s="45"/>
      <c r="X42" s="46"/>
      <c r="Y42" s="146"/>
      <c r="Z42" s="45"/>
      <c r="AA42" s="46"/>
      <c r="AB42" s="146"/>
      <c r="AC42" s="45"/>
      <c r="AD42" s="45"/>
      <c r="AE42" s="43"/>
      <c r="AF42" s="45"/>
      <c r="AG42" s="45"/>
      <c r="AH42" s="101">
        <f t="shared" si="1"/>
        <v>-5.1700000040000305E-3</v>
      </c>
    </row>
    <row r="43" spans="1:34" s="37" customFormat="1" x14ac:dyDescent="0.2">
      <c r="A43" s="128" t="s">
        <v>65</v>
      </c>
      <c r="B43" s="43"/>
      <c r="C43" s="43">
        <v>18168.2389</v>
      </c>
      <c r="D43" s="43">
        <v>64478.93</v>
      </c>
      <c r="E43" s="213"/>
      <c r="F43" s="43"/>
      <c r="G43" s="44">
        <v>13.86</v>
      </c>
      <c r="H43" s="45"/>
      <c r="I43" s="45">
        <v>14467.53</v>
      </c>
      <c r="J43" s="58">
        <f>97114.7+13.86</f>
        <v>97128.56</v>
      </c>
      <c r="K43" s="43"/>
      <c r="L43" s="45"/>
      <c r="M43" s="45"/>
      <c r="N43" s="46"/>
      <c r="O43" s="55"/>
      <c r="P43" s="45"/>
      <c r="Q43" s="55"/>
      <c r="R43" s="58"/>
      <c r="S43" s="43"/>
      <c r="T43" s="45"/>
      <c r="U43" s="45"/>
      <c r="V43" s="45"/>
      <c r="W43" s="45"/>
      <c r="X43" s="46"/>
      <c r="Y43" s="146"/>
      <c r="Z43" s="45"/>
      <c r="AA43" s="46"/>
      <c r="AB43" s="146"/>
      <c r="AC43" s="45"/>
      <c r="AD43" s="45"/>
      <c r="AE43" s="43"/>
      <c r="AF43" s="45"/>
      <c r="AG43" s="45"/>
      <c r="AH43" s="101">
        <f t="shared" si="1"/>
        <v>-13.861099999994622</v>
      </c>
    </row>
    <row r="44" spans="1:34" s="37" customFormat="1" x14ac:dyDescent="0.2">
      <c r="A44" s="128" t="s">
        <v>66</v>
      </c>
      <c r="B44" s="43"/>
      <c r="C44" s="43"/>
      <c r="D44" s="43"/>
      <c r="E44" s="213"/>
      <c r="F44" s="43"/>
      <c r="G44" s="44"/>
      <c r="H44" s="45"/>
      <c r="I44" s="45"/>
      <c r="J44" s="58"/>
      <c r="K44" s="43"/>
      <c r="L44" s="45"/>
      <c r="M44" s="45"/>
      <c r="N44" s="46"/>
      <c r="O44" s="55"/>
      <c r="P44" s="45"/>
      <c r="Q44" s="55"/>
      <c r="R44" s="58"/>
      <c r="S44" s="43"/>
      <c r="T44" s="45"/>
      <c r="U44" s="45"/>
      <c r="V44" s="45"/>
      <c r="W44" s="45"/>
      <c r="X44" s="46"/>
      <c r="Y44" s="146"/>
      <c r="Z44" s="45"/>
      <c r="AA44" s="46"/>
      <c r="AB44" s="146"/>
      <c r="AC44" s="45"/>
      <c r="AD44" s="45"/>
      <c r="AE44" s="43"/>
      <c r="AF44" s="45"/>
      <c r="AG44" s="45"/>
      <c r="AH44" s="101">
        <f t="shared" si="1"/>
        <v>0</v>
      </c>
    </row>
    <row r="45" spans="1:34" s="37" customFormat="1" x14ac:dyDescent="0.2">
      <c r="A45" s="128" t="s">
        <v>67</v>
      </c>
      <c r="B45" s="43"/>
      <c r="C45" s="43"/>
      <c r="D45" s="43"/>
      <c r="E45" s="213"/>
      <c r="F45" s="43"/>
      <c r="G45" s="44"/>
      <c r="H45" s="45"/>
      <c r="I45" s="45"/>
      <c r="J45" s="58"/>
      <c r="K45" s="43"/>
      <c r="L45" s="45"/>
      <c r="M45" s="45">
        <v>16540</v>
      </c>
      <c r="N45" s="46">
        <v>0</v>
      </c>
      <c r="O45" s="55"/>
      <c r="P45" s="45"/>
      <c r="Q45" s="55"/>
      <c r="R45" s="58">
        <v>16540</v>
      </c>
      <c r="S45" s="43"/>
      <c r="T45" s="45"/>
      <c r="U45" s="45"/>
      <c r="V45" s="45"/>
      <c r="W45" s="45"/>
      <c r="X45" s="46"/>
      <c r="Y45" s="146"/>
      <c r="Z45" s="45"/>
      <c r="AA45" s="46"/>
      <c r="AB45" s="146"/>
      <c r="AC45" s="45"/>
      <c r="AD45" s="45"/>
      <c r="AE45" s="43"/>
      <c r="AF45" s="45"/>
      <c r="AG45" s="45"/>
      <c r="AH45" s="101">
        <f t="shared" si="1"/>
        <v>0</v>
      </c>
    </row>
    <row r="46" spans="1:34" s="37" customFormat="1" ht="25.5" x14ac:dyDescent="0.2">
      <c r="A46" s="128" t="s">
        <v>68</v>
      </c>
      <c r="B46" s="43"/>
      <c r="C46" s="43"/>
      <c r="D46" s="43">
        <v>1576.58</v>
      </c>
      <c r="E46" s="213"/>
      <c r="F46" s="43"/>
      <c r="G46" s="44">
        <v>78.94</v>
      </c>
      <c r="H46" s="45"/>
      <c r="I46" s="45">
        <v>25165.53</v>
      </c>
      <c r="J46" s="58">
        <v>78.94</v>
      </c>
      <c r="K46" s="43"/>
      <c r="L46" s="45"/>
      <c r="M46" s="45">
        <v>9848.58</v>
      </c>
      <c r="N46" s="46">
        <v>37011</v>
      </c>
      <c r="O46" s="55"/>
      <c r="P46" s="45"/>
      <c r="Q46" s="55"/>
      <c r="R46" s="58"/>
      <c r="S46" s="43"/>
      <c r="T46" s="45"/>
      <c r="U46" s="45"/>
      <c r="V46" s="45"/>
      <c r="W46" s="45"/>
      <c r="X46" s="46"/>
      <c r="Y46" s="146"/>
      <c r="Z46" s="45"/>
      <c r="AA46" s="46"/>
      <c r="AB46" s="146"/>
      <c r="AC46" s="45"/>
      <c r="AD46" s="45"/>
      <c r="AE46" s="43"/>
      <c r="AF46" s="45"/>
      <c r="AG46" s="45"/>
      <c r="AH46" s="101">
        <f t="shared" si="1"/>
        <v>-499.25</v>
      </c>
    </row>
    <row r="47" spans="1:34" ht="28.5" customHeight="1" x14ac:dyDescent="0.2">
      <c r="A47" s="134" t="s">
        <v>237</v>
      </c>
      <c r="B47" s="27"/>
      <c r="C47" s="27"/>
      <c r="D47" s="27"/>
      <c r="E47" s="215"/>
      <c r="F47" s="27">
        <v>37193.040000000001</v>
      </c>
      <c r="G47" s="11"/>
      <c r="H47" s="129"/>
      <c r="I47" s="11"/>
      <c r="J47" s="61"/>
      <c r="K47" s="228">
        <v>17174</v>
      </c>
      <c r="L47" s="129"/>
      <c r="M47" s="135">
        <v>0</v>
      </c>
      <c r="N47" s="33"/>
      <c r="O47" s="65"/>
      <c r="P47" s="12"/>
      <c r="Q47" s="160"/>
      <c r="R47" s="141"/>
      <c r="S47" s="36"/>
      <c r="T47" s="45"/>
      <c r="U47" s="45"/>
      <c r="V47" s="45"/>
      <c r="W47" s="135"/>
      <c r="X47" s="151"/>
      <c r="Y47" s="146"/>
      <c r="Z47" s="135"/>
      <c r="AA47" s="151"/>
      <c r="AB47" s="146"/>
      <c r="AC47" s="135"/>
      <c r="AD47" s="135"/>
      <c r="AE47" s="150"/>
      <c r="AF47" s="135"/>
      <c r="AG47" s="135"/>
      <c r="AH47" s="101">
        <f t="shared" si="1"/>
        <v>0</v>
      </c>
    </row>
    <row r="48" spans="1:34" ht="28.5" customHeight="1" x14ac:dyDescent="0.2">
      <c r="A48" s="134" t="s">
        <v>205</v>
      </c>
      <c r="B48" s="27"/>
      <c r="C48" s="27"/>
      <c r="D48" s="27"/>
      <c r="E48" s="215"/>
      <c r="F48" s="27"/>
      <c r="G48" s="11"/>
      <c r="H48" s="129"/>
      <c r="I48" s="11"/>
      <c r="J48" s="61"/>
      <c r="K48" s="228">
        <v>5400</v>
      </c>
      <c r="L48" s="129"/>
      <c r="M48" s="135">
        <v>30000</v>
      </c>
      <c r="N48" s="33"/>
      <c r="O48" s="228">
        <v>52800</v>
      </c>
      <c r="P48" s="12"/>
      <c r="Q48" s="160">
        <v>297925</v>
      </c>
      <c r="R48" s="141">
        <v>30000</v>
      </c>
      <c r="S48" s="36">
        <v>75900</v>
      </c>
      <c r="T48" s="45"/>
      <c r="U48" s="45"/>
      <c r="V48" s="45">
        <v>428825</v>
      </c>
      <c r="W48" s="135">
        <v>297925</v>
      </c>
      <c r="X48" s="151"/>
      <c r="Y48" s="146">
        <v>85200</v>
      </c>
      <c r="Z48" s="135">
        <v>481525</v>
      </c>
      <c r="AA48" s="151">
        <v>428825</v>
      </c>
      <c r="AB48" s="146"/>
      <c r="AC48" s="135">
        <v>397800</v>
      </c>
      <c r="AD48" s="135">
        <v>481525</v>
      </c>
      <c r="AE48" s="150"/>
      <c r="AF48" s="135"/>
      <c r="AG48" s="135">
        <v>397800</v>
      </c>
      <c r="AH48" s="101">
        <f t="shared" si="1"/>
        <v>0</v>
      </c>
    </row>
    <row r="49" spans="1:34" s="37" customFormat="1" x14ac:dyDescent="0.2">
      <c r="A49" s="38" t="s">
        <v>206</v>
      </c>
      <c r="B49" s="43"/>
      <c r="C49" s="43"/>
      <c r="D49" s="43"/>
      <c r="E49" s="213"/>
      <c r="F49" s="43"/>
      <c r="G49" s="44"/>
      <c r="H49" s="45"/>
      <c r="I49" s="45"/>
      <c r="J49" s="58"/>
      <c r="K49" s="43"/>
      <c r="L49" s="45"/>
      <c r="M49" s="45"/>
      <c r="N49" s="46"/>
      <c r="O49" s="55"/>
      <c r="P49" s="45"/>
      <c r="Q49" s="55"/>
      <c r="R49" s="58"/>
      <c r="S49" s="43"/>
      <c r="T49" s="45"/>
      <c r="U49" s="45"/>
      <c r="V49" s="45">
        <v>72000</v>
      </c>
      <c r="W49" s="45"/>
      <c r="X49" s="46">
        <v>30300</v>
      </c>
      <c r="Y49" s="146"/>
      <c r="Z49" s="45">
        <v>177000</v>
      </c>
      <c r="AA49" s="46">
        <v>140750</v>
      </c>
      <c r="AB49" s="146"/>
      <c r="AC49" s="45"/>
      <c r="AD49" s="45">
        <v>77950</v>
      </c>
      <c r="AE49" s="43"/>
      <c r="AF49" s="45"/>
      <c r="AG49" s="45"/>
      <c r="AH49" s="101">
        <f t="shared" si="1"/>
        <v>0</v>
      </c>
    </row>
    <row r="50" spans="1:34" x14ac:dyDescent="0.2">
      <c r="A50" s="16" t="s">
        <v>2</v>
      </c>
      <c r="B50" s="23"/>
      <c r="C50" s="23"/>
      <c r="D50" s="23"/>
      <c r="E50" s="214"/>
      <c r="F50" s="23">
        <v>71.91</v>
      </c>
      <c r="G50" s="6"/>
      <c r="H50" s="6">
        <v>0</v>
      </c>
      <c r="I50" s="6"/>
      <c r="J50" s="59"/>
      <c r="K50" s="47"/>
      <c r="L50" s="9">
        <v>0</v>
      </c>
      <c r="M50" s="9"/>
      <c r="N50" s="34"/>
      <c r="O50" s="186"/>
      <c r="P50" s="6">
        <v>0</v>
      </c>
      <c r="Q50" s="56"/>
      <c r="R50" s="59"/>
      <c r="S50" s="23"/>
      <c r="T50" s="6">
        <v>0</v>
      </c>
      <c r="U50" s="6"/>
      <c r="V50" s="6"/>
      <c r="W50" s="6"/>
      <c r="X50" s="24"/>
      <c r="Y50" s="159"/>
      <c r="Z50" s="6"/>
      <c r="AA50" s="24"/>
      <c r="AB50" s="159"/>
      <c r="AC50" s="6"/>
      <c r="AD50" s="6"/>
      <c r="AE50" s="23"/>
      <c r="AF50" s="6"/>
      <c r="AG50" s="6"/>
      <c r="AH50" s="101">
        <f t="shared" si="1"/>
        <v>0</v>
      </c>
    </row>
    <row r="51" spans="1:34" x14ac:dyDescent="0.2">
      <c r="A51" s="16" t="s">
        <v>3</v>
      </c>
      <c r="B51" s="23"/>
      <c r="C51" s="23"/>
      <c r="D51" s="23"/>
      <c r="E51" s="214"/>
      <c r="F51" s="23"/>
      <c r="G51" s="6"/>
      <c r="H51" s="6">
        <v>615</v>
      </c>
      <c r="I51" s="6"/>
      <c r="J51" s="59"/>
      <c r="K51" s="47"/>
      <c r="L51" s="7">
        <v>40400</v>
      </c>
      <c r="M51" s="7"/>
      <c r="N51" s="32"/>
      <c r="O51" s="131"/>
      <c r="P51" s="6">
        <v>10000</v>
      </c>
      <c r="Q51" s="56"/>
      <c r="R51" s="59"/>
      <c r="S51" s="23"/>
      <c r="T51" s="6"/>
      <c r="U51" s="6"/>
      <c r="V51" s="6"/>
      <c r="W51" s="6"/>
      <c r="X51" s="24"/>
      <c r="Y51" s="159"/>
      <c r="Z51" s="6"/>
      <c r="AA51" s="24"/>
      <c r="AB51" s="159"/>
      <c r="AC51" s="6"/>
      <c r="AD51" s="6"/>
      <c r="AE51" s="23"/>
      <c r="AF51" s="6"/>
      <c r="AG51" s="6"/>
      <c r="AH51" s="101">
        <f t="shared" si="1"/>
        <v>0</v>
      </c>
    </row>
    <row r="52" spans="1:34" x14ac:dyDescent="0.2">
      <c r="A52" s="16" t="s">
        <v>1</v>
      </c>
      <c r="B52" s="23"/>
      <c r="C52" s="23"/>
      <c r="D52" s="23"/>
      <c r="E52" s="214"/>
      <c r="F52" s="23"/>
      <c r="G52" s="6"/>
      <c r="H52" s="6"/>
      <c r="I52" s="6"/>
      <c r="J52" s="59"/>
      <c r="K52" s="35"/>
      <c r="L52" s="7"/>
      <c r="M52" s="7"/>
      <c r="N52" s="32"/>
      <c r="O52" s="131"/>
      <c r="P52" s="6">
        <v>30000</v>
      </c>
      <c r="Q52" s="56"/>
      <c r="R52" s="59"/>
      <c r="S52" s="23"/>
      <c r="T52" s="6">
        <v>65000</v>
      </c>
      <c r="U52" s="6"/>
      <c r="V52" s="6"/>
      <c r="W52" s="6"/>
      <c r="X52" s="24"/>
      <c r="Y52" s="159"/>
      <c r="Z52" s="6"/>
      <c r="AA52" s="24"/>
      <c r="AB52" s="159"/>
      <c r="AC52" s="6"/>
      <c r="AD52" s="6"/>
      <c r="AE52" s="23"/>
      <c r="AF52" s="6"/>
      <c r="AG52" s="6"/>
      <c r="AH52" s="101">
        <f t="shared" si="1"/>
        <v>0</v>
      </c>
    </row>
    <row r="53" spans="1:34" x14ac:dyDescent="0.2">
      <c r="A53" s="16" t="s">
        <v>4</v>
      </c>
      <c r="B53" s="23"/>
      <c r="C53" s="23"/>
      <c r="D53" s="23"/>
      <c r="E53" s="214"/>
      <c r="F53" s="23"/>
      <c r="G53" s="6"/>
      <c r="H53" s="6">
        <v>25000</v>
      </c>
      <c r="I53" s="6"/>
      <c r="J53" s="59"/>
      <c r="K53" s="47"/>
      <c r="L53" s="7">
        <v>70000</v>
      </c>
      <c r="M53" s="7"/>
      <c r="N53" s="32"/>
      <c r="O53" s="131"/>
      <c r="P53" s="6"/>
      <c r="Q53" s="56"/>
      <c r="R53" s="59"/>
      <c r="S53" s="23"/>
      <c r="T53" s="6"/>
      <c r="U53" s="6"/>
      <c r="V53" s="6"/>
      <c r="W53" s="6"/>
      <c r="X53" s="24"/>
      <c r="Y53" s="159"/>
      <c r="Z53" s="6"/>
      <c r="AA53" s="24"/>
      <c r="AB53" s="159"/>
      <c r="AC53" s="6"/>
      <c r="AD53" s="6"/>
      <c r="AE53" s="23"/>
      <c r="AF53" s="6"/>
      <c r="AG53" s="6"/>
      <c r="AH53" s="101">
        <f t="shared" si="1"/>
        <v>0</v>
      </c>
    </row>
    <row r="54" spans="1:34" s="8" customFormat="1" x14ac:dyDescent="0.2">
      <c r="A54" s="17" t="s">
        <v>27</v>
      </c>
      <c r="B54" s="25">
        <f t="shared" ref="B54:T54" si="4">SUM(B38:B53)</f>
        <v>0</v>
      </c>
      <c r="C54" s="25">
        <f t="shared" si="4"/>
        <v>117740.91272000001</v>
      </c>
      <c r="D54" s="25">
        <f t="shared" si="4"/>
        <v>110050.73</v>
      </c>
      <c r="E54" s="142">
        <f t="shared" si="4"/>
        <v>98139.510000000009</v>
      </c>
      <c r="F54" s="199">
        <f t="shared" si="4"/>
        <v>37264.950000000004</v>
      </c>
      <c r="G54" s="191">
        <f t="shared" si="4"/>
        <v>92.8</v>
      </c>
      <c r="H54" s="191">
        <f t="shared" si="4"/>
        <v>25615</v>
      </c>
      <c r="I54" s="191">
        <f t="shared" si="4"/>
        <v>45462.83</v>
      </c>
      <c r="J54" s="218">
        <f t="shared" si="4"/>
        <v>148420.13</v>
      </c>
      <c r="K54" s="199">
        <f t="shared" si="4"/>
        <v>22574</v>
      </c>
      <c r="L54" s="191">
        <f t="shared" si="4"/>
        <v>110400</v>
      </c>
      <c r="M54" s="191">
        <f t="shared" si="4"/>
        <v>56388.58</v>
      </c>
      <c r="N54" s="200">
        <f t="shared" si="4"/>
        <v>37011</v>
      </c>
      <c r="O54" s="169">
        <f t="shared" si="4"/>
        <v>52800</v>
      </c>
      <c r="P54" s="191">
        <f t="shared" si="4"/>
        <v>40000</v>
      </c>
      <c r="Q54" s="15">
        <f t="shared" si="4"/>
        <v>297925</v>
      </c>
      <c r="R54" s="60">
        <f t="shared" si="4"/>
        <v>46540</v>
      </c>
      <c r="S54" s="199">
        <f t="shared" si="4"/>
        <v>75900</v>
      </c>
      <c r="T54" s="191">
        <f t="shared" si="4"/>
        <v>65000</v>
      </c>
      <c r="U54" s="191">
        <f>SUM(U38:U53)</f>
        <v>0</v>
      </c>
      <c r="V54" s="191">
        <f t="shared" ref="V54:AG54" si="5">SUM(V38:V53)</f>
        <v>500825</v>
      </c>
      <c r="W54" s="191">
        <f t="shared" si="5"/>
        <v>297925</v>
      </c>
      <c r="X54" s="200">
        <f t="shared" si="5"/>
        <v>30300</v>
      </c>
      <c r="Y54" s="191">
        <f t="shared" si="5"/>
        <v>85200</v>
      </c>
      <c r="Z54" s="191">
        <f t="shared" si="5"/>
        <v>658525</v>
      </c>
      <c r="AA54" s="200">
        <f t="shared" si="5"/>
        <v>569575</v>
      </c>
      <c r="AB54" s="15">
        <f t="shared" si="5"/>
        <v>0</v>
      </c>
      <c r="AC54" s="15">
        <f t="shared" si="5"/>
        <v>397800</v>
      </c>
      <c r="AD54" s="15">
        <f t="shared" si="5"/>
        <v>559475</v>
      </c>
      <c r="AE54" s="15">
        <f t="shared" si="5"/>
        <v>0</v>
      </c>
      <c r="AF54" s="15">
        <f t="shared" si="5"/>
        <v>0</v>
      </c>
      <c r="AG54" s="15">
        <f t="shared" si="5"/>
        <v>397800</v>
      </c>
      <c r="AH54" s="101">
        <f t="shared" si="1"/>
        <v>-467.58727999997791</v>
      </c>
    </row>
    <row r="55" spans="1:34" s="37" customFormat="1" ht="25.5" x14ac:dyDescent="0.2">
      <c r="A55" s="130" t="s">
        <v>69</v>
      </c>
      <c r="B55" s="43"/>
      <c r="C55" s="43"/>
      <c r="D55" s="43">
        <v>12148.69</v>
      </c>
      <c r="E55" s="213"/>
      <c r="F55" s="43"/>
      <c r="G55" s="45">
        <v>258.8</v>
      </c>
      <c r="H55" s="45"/>
      <c r="I55" s="45">
        <f>10049+2355.75</f>
        <v>12404.75</v>
      </c>
      <c r="J55" s="45">
        <v>258.8</v>
      </c>
      <c r="K55" s="43"/>
      <c r="L55" s="45"/>
      <c r="M55" s="45"/>
      <c r="N55" s="46">
        <v>24554</v>
      </c>
      <c r="O55" s="55"/>
      <c r="P55" s="45"/>
      <c r="Q55" s="55"/>
      <c r="R55" s="58"/>
      <c r="S55" s="43"/>
      <c r="T55" s="45"/>
      <c r="U55" s="45"/>
      <c r="V55" s="45"/>
      <c r="W55" s="45"/>
      <c r="X55" s="46"/>
      <c r="Y55" s="146"/>
      <c r="Z55" s="45"/>
      <c r="AA55" s="46"/>
      <c r="AB55" s="146"/>
      <c r="AC55" s="45"/>
      <c r="AD55" s="45"/>
      <c r="AE55" s="43"/>
      <c r="AF55" s="45"/>
      <c r="AG55" s="45"/>
      <c r="AH55" s="101">
        <f t="shared" si="1"/>
        <v>-259.35999999999694</v>
      </c>
    </row>
    <row r="56" spans="1:34" s="37" customFormat="1" x14ac:dyDescent="0.2">
      <c r="A56" s="130" t="s">
        <v>70</v>
      </c>
      <c r="B56" s="43"/>
      <c r="C56" s="43"/>
      <c r="D56" s="43">
        <v>5289.39</v>
      </c>
      <c r="E56" s="213"/>
      <c r="F56" s="43"/>
      <c r="G56" s="45">
        <v>94.01</v>
      </c>
      <c r="H56" s="45"/>
      <c r="I56" s="45">
        <f>6604+1011.92</f>
        <v>7615.92</v>
      </c>
      <c r="J56" s="45">
        <v>94.01</v>
      </c>
      <c r="K56" s="43"/>
      <c r="L56" s="45"/>
      <c r="M56" s="45"/>
      <c r="N56" s="46">
        <v>12906</v>
      </c>
      <c r="O56" s="55"/>
      <c r="P56" s="45"/>
      <c r="Q56" s="55"/>
      <c r="R56" s="58"/>
      <c r="S56" s="43"/>
      <c r="T56" s="45"/>
      <c r="U56" s="45"/>
      <c r="V56" s="45"/>
      <c r="W56" s="45"/>
      <c r="X56" s="46"/>
      <c r="Y56" s="146"/>
      <c r="Z56" s="45"/>
      <c r="AA56" s="46"/>
      <c r="AB56" s="146"/>
      <c r="AC56" s="45"/>
      <c r="AD56" s="45"/>
      <c r="AE56" s="43"/>
      <c r="AF56" s="45"/>
      <c r="AG56" s="45"/>
      <c r="AH56" s="101">
        <f t="shared" si="1"/>
        <v>-94.699999999998909</v>
      </c>
    </row>
    <row r="57" spans="1:34" s="37" customFormat="1" ht="25.5" x14ac:dyDescent="0.2">
      <c r="A57" s="130" t="s">
        <v>71</v>
      </c>
      <c r="B57" s="43"/>
      <c r="C57" s="43"/>
      <c r="D57" s="43">
        <v>9693.66</v>
      </c>
      <c r="E57" s="213"/>
      <c r="F57" s="43"/>
      <c r="G57" s="45">
        <v>223.25</v>
      </c>
      <c r="H57" s="45"/>
      <c r="I57" s="45">
        <f>9172+2111.11</f>
        <v>11283.11</v>
      </c>
      <c r="J57" s="45">
        <v>223.25</v>
      </c>
      <c r="K57" s="43"/>
      <c r="L57" s="45"/>
      <c r="M57" s="45"/>
      <c r="N57" s="46">
        <v>20977</v>
      </c>
      <c r="O57" s="55"/>
      <c r="P57" s="45"/>
      <c r="Q57" s="55"/>
      <c r="R57" s="58"/>
      <c r="S57" s="43"/>
      <c r="T57" s="45"/>
      <c r="U57" s="45"/>
      <c r="V57" s="45"/>
      <c r="W57" s="45"/>
      <c r="X57" s="46"/>
      <c r="Y57" s="146"/>
      <c r="Z57" s="45"/>
      <c r="AA57" s="46"/>
      <c r="AB57" s="146"/>
      <c r="AC57" s="45"/>
      <c r="AD57" s="45"/>
      <c r="AE57" s="43"/>
      <c r="AF57" s="45"/>
      <c r="AG57" s="45"/>
      <c r="AH57" s="101">
        <f t="shared" si="1"/>
        <v>-223.47999999999956</v>
      </c>
    </row>
    <row r="58" spans="1:34" s="37" customFormat="1" ht="25.5" x14ac:dyDescent="0.2">
      <c r="A58" s="130" t="s">
        <v>72</v>
      </c>
      <c r="B58" s="43"/>
      <c r="C58" s="43"/>
      <c r="D58" s="43"/>
      <c r="E58" s="213"/>
      <c r="F58" s="43"/>
      <c r="G58" s="45"/>
      <c r="H58" s="45"/>
      <c r="I58" s="45">
        <v>12830.33</v>
      </c>
      <c r="J58" s="58"/>
      <c r="K58" s="43"/>
      <c r="L58" s="45"/>
      <c r="M58" s="45">
        <v>18658</v>
      </c>
      <c r="N58" s="46"/>
      <c r="O58" s="55"/>
      <c r="P58" s="45"/>
      <c r="Q58" s="55"/>
      <c r="R58" s="58">
        <v>31488</v>
      </c>
      <c r="S58" s="43"/>
      <c r="T58" s="45"/>
      <c r="U58" s="45"/>
      <c r="V58" s="45"/>
      <c r="W58" s="45"/>
      <c r="X58" s="46"/>
      <c r="Y58" s="146"/>
      <c r="Z58" s="45"/>
      <c r="AA58" s="46"/>
      <c r="AB58" s="146"/>
      <c r="AC58" s="45"/>
      <c r="AD58" s="45"/>
      <c r="AE58" s="43"/>
      <c r="AF58" s="45"/>
      <c r="AG58" s="45"/>
      <c r="AH58" s="101">
        <f t="shared" si="1"/>
        <v>0.33000000000174623</v>
      </c>
    </row>
    <row r="59" spans="1:34" s="37" customFormat="1" x14ac:dyDescent="0.2">
      <c r="A59" s="130" t="s">
        <v>73</v>
      </c>
      <c r="B59" s="43"/>
      <c r="C59" s="43"/>
      <c r="D59" s="43"/>
      <c r="E59" s="213"/>
      <c r="F59" s="43"/>
      <c r="G59" s="45"/>
      <c r="H59" s="45">
        <v>46471.27</v>
      </c>
      <c r="I59" s="45">
        <v>4112</v>
      </c>
      <c r="J59" s="58"/>
      <c r="K59" s="43"/>
      <c r="L59" s="45">
        <v>66735</v>
      </c>
      <c r="M59" s="45">
        <v>23750</v>
      </c>
      <c r="N59" s="46"/>
      <c r="O59" s="55"/>
      <c r="P59" s="45">
        <v>64910</v>
      </c>
      <c r="Q59" s="55">
        <v>20347</v>
      </c>
      <c r="R59" s="58">
        <v>48209</v>
      </c>
      <c r="S59" s="43"/>
      <c r="T59" s="45"/>
      <c r="U59" s="45"/>
      <c r="V59" s="45"/>
      <c r="W59" s="45"/>
      <c r="X59" s="46"/>
      <c r="Y59" s="146"/>
      <c r="Z59" s="45"/>
      <c r="AA59" s="46"/>
      <c r="AB59" s="146"/>
      <c r="AC59" s="45"/>
      <c r="AD59" s="45"/>
      <c r="AE59" s="43"/>
      <c r="AF59" s="45"/>
      <c r="AG59" s="45"/>
      <c r="AH59" s="101">
        <f t="shared" si="1"/>
        <v>0</v>
      </c>
    </row>
    <row r="60" spans="1:34" s="37" customFormat="1" ht="25.5" x14ac:dyDescent="0.2">
      <c r="A60" s="130" t="s">
        <v>74</v>
      </c>
      <c r="B60" s="43"/>
      <c r="C60" s="43"/>
      <c r="D60" s="43"/>
      <c r="E60" s="213"/>
      <c r="F60" s="43"/>
      <c r="G60" s="45"/>
      <c r="H60" s="45">
        <v>7525</v>
      </c>
      <c r="I60" s="45">
        <v>2975</v>
      </c>
      <c r="J60" s="58"/>
      <c r="K60" s="43"/>
      <c r="L60" s="45">
        <v>19984</v>
      </c>
      <c r="M60" s="45">
        <v>516</v>
      </c>
      <c r="N60" s="46">
        <v>0</v>
      </c>
      <c r="O60" s="55"/>
      <c r="P60" s="45">
        <v>33995</v>
      </c>
      <c r="Q60" s="55">
        <v>525</v>
      </c>
      <c r="R60" s="58">
        <v>4016</v>
      </c>
      <c r="S60" s="43"/>
      <c r="T60" s="45"/>
      <c r="U60" s="45"/>
      <c r="V60" s="45"/>
      <c r="W60" s="45"/>
      <c r="X60" s="46"/>
      <c r="Y60" s="146"/>
      <c r="Z60" s="45"/>
      <c r="AA60" s="46"/>
      <c r="AB60" s="146"/>
      <c r="AC60" s="45"/>
      <c r="AD60" s="45"/>
      <c r="AE60" s="43"/>
      <c r="AF60" s="45"/>
      <c r="AG60" s="45"/>
      <c r="AH60" s="101">
        <f t="shared" si="1"/>
        <v>0</v>
      </c>
    </row>
    <row r="61" spans="1:34" s="37" customFormat="1" ht="15" x14ac:dyDescent="0.25">
      <c r="A61" s="130" t="s">
        <v>75</v>
      </c>
      <c r="B61" s="43"/>
      <c r="C61" s="43"/>
      <c r="D61" s="43"/>
      <c r="E61" s="213"/>
      <c r="F61" s="43"/>
      <c r="G61" s="45"/>
      <c r="H61" s="45"/>
      <c r="I61" s="45">
        <v>7800</v>
      </c>
      <c r="J61" s="58"/>
      <c r="K61" s="43"/>
      <c r="L61" s="45"/>
      <c r="M61" s="103">
        <v>13283</v>
      </c>
      <c r="N61" s="46"/>
      <c r="O61" s="55"/>
      <c r="P61" s="45"/>
      <c r="Q61" s="55"/>
      <c r="R61" s="58">
        <v>21083</v>
      </c>
      <c r="S61" s="43"/>
      <c r="T61" s="45"/>
      <c r="U61" s="45"/>
      <c r="V61" s="45"/>
      <c r="W61" s="45"/>
      <c r="X61" s="46"/>
      <c r="Y61" s="146"/>
      <c r="Z61" s="45"/>
      <c r="AA61" s="46"/>
      <c r="AB61" s="146"/>
      <c r="AC61" s="45"/>
      <c r="AD61" s="45"/>
      <c r="AE61" s="43"/>
      <c r="AF61" s="45"/>
      <c r="AG61" s="45"/>
      <c r="AH61" s="101">
        <f t="shared" si="1"/>
        <v>0</v>
      </c>
    </row>
    <row r="62" spans="1:34" s="37" customFormat="1" x14ac:dyDescent="0.2">
      <c r="A62" s="130" t="s">
        <v>76</v>
      </c>
      <c r="B62" s="43"/>
      <c r="C62" s="43"/>
      <c r="D62" s="43"/>
      <c r="E62" s="213"/>
      <c r="F62" s="43"/>
      <c r="G62" s="45"/>
      <c r="H62" s="45"/>
      <c r="I62" s="45"/>
      <c r="J62" s="58"/>
      <c r="K62" s="43"/>
      <c r="L62" s="45"/>
      <c r="M62" s="7">
        <v>1750</v>
      </c>
      <c r="N62" s="46"/>
      <c r="O62" s="55"/>
      <c r="P62" s="45"/>
      <c r="Q62" s="55">
        <v>1750</v>
      </c>
      <c r="R62" s="58">
        <v>3500</v>
      </c>
      <c r="S62" s="43"/>
      <c r="T62" s="45"/>
      <c r="U62" s="45"/>
      <c r="V62" s="45"/>
      <c r="W62" s="45"/>
      <c r="X62" s="46"/>
      <c r="Y62" s="146"/>
      <c r="Z62" s="45"/>
      <c r="AA62" s="46"/>
      <c r="AB62" s="146"/>
      <c r="AC62" s="45"/>
      <c r="AD62" s="45"/>
      <c r="AE62" s="43"/>
      <c r="AF62" s="45"/>
      <c r="AG62" s="45"/>
      <c r="AH62" s="101">
        <f t="shared" si="1"/>
        <v>0</v>
      </c>
    </row>
    <row r="63" spans="1:34" x14ac:dyDescent="0.2">
      <c r="A63" s="18" t="s">
        <v>151</v>
      </c>
      <c r="B63" s="31"/>
      <c r="C63" s="31"/>
      <c r="D63" s="31"/>
      <c r="E63" s="216"/>
      <c r="F63" s="31"/>
      <c r="G63" s="7"/>
      <c r="H63" s="7">
        <v>9000</v>
      </c>
      <c r="I63" s="7"/>
      <c r="J63" s="62"/>
      <c r="K63" s="43"/>
      <c r="L63" s="7">
        <v>10000</v>
      </c>
      <c r="M63" s="7"/>
      <c r="N63" s="32"/>
      <c r="O63" s="131"/>
      <c r="P63" s="7"/>
      <c r="Q63" s="131"/>
      <c r="R63" s="62"/>
      <c r="S63" s="31"/>
      <c r="T63" s="6"/>
      <c r="U63" s="6"/>
      <c r="V63" s="6"/>
      <c r="W63" s="6"/>
      <c r="X63" s="24"/>
      <c r="Y63" s="159"/>
      <c r="Z63" s="6"/>
      <c r="AA63" s="24"/>
      <c r="AB63" s="159"/>
      <c r="AC63" s="6"/>
      <c r="AD63" s="6"/>
      <c r="AE63" s="23"/>
      <c r="AF63" s="6"/>
      <c r="AG63" s="6"/>
      <c r="AH63" s="101">
        <f t="shared" si="1"/>
        <v>0</v>
      </c>
    </row>
    <row r="64" spans="1:34" x14ac:dyDescent="0.2">
      <c r="A64" s="156" t="s">
        <v>211</v>
      </c>
      <c r="B64" s="31"/>
      <c r="C64" s="31"/>
      <c r="D64" s="31"/>
      <c r="E64" s="216"/>
      <c r="F64" s="31"/>
      <c r="G64" s="7"/>
      <c r="H64" s="7"/>
      <c r="I64" s="7"/>
      <c r="J64" s="62"/>
      <c r="K64" s="43"/>
      <c r="L64" s="7"/>
      <c r="M64" s="7"/>
      <c r="N64" s="32"/>
      <c r="O64" s="131"/>
      <c r="P64" s="7"/>
      <c r="Q64" s="131">
        <v>10200</v>
      </c>
      <c r="R64" s="62"/>
      <c r="S64" s="31"/>
      <c r="T64" s="6"/>
      <c r="U64" s="6"/>
      <c r="V64" s="6">
        <v>97750</v>
      </c>
      <c r="W64" s="6">
        <v>10200</v>
      </c>
      <c r="X64" s="24">
        <v>52250</v>
      </c>
      <c r="Y64" s="159"/>
      <c r="Z64" s="6">
        <v>139500</v>
      </c>
      <c r="AA64" s="24">
        <v>145000</v>
      </c>
      <c r="AB64" s="159"/>
      <c r="AC64" s="6"/>
      <c r="AD64" s="6">
        <v>40000</v>
      </c>
      <c r="AE64" s="23"/>
      <c r="AF64" s="6"/>
      <c r="AG64" s="6"/>
      <c r="AH64" s="101">
        <f t="shared" si="1"/>
        <v>0</v>
      </c>
    </row>
    <row r="65" spans="1:34" x14ac:dyDescent="0.2">
      <c r="A65" s="226" t="s">
        <v>24</v>
      </c>
      <c r="B65" s="31"/>
      <c r="C65" s="31"/>
      <c r="D65" s="31"/>
      <c r="E65" s="216"/>
      <c r="F65" s="31"/>
      <c r="G65" s="7"/>
      <c r="H65" s="7">
        <v>15864.43</v>
      </c>
      <c r="I65" s="7"/>
      <c r="J65" s="62"/>
      <c r="K65" s="43"/>
      <c r="L65" s="7">
        <v>82731</v>
      </c>
      <c r="M65" s="45">
        <v>37794</v>
      </c>
      <c r="N65" s="46">
        <v>37794</v>
      </c>
      <c r="O65" s="227">
        <v>46900</v>
      </c>
      <c r="P65" s="7">
        <v>19761</v>
      </c>
      <c r="Q65" s="131"/>
      <c r="R65" s="62"/>
      <c r="S65" s="31"/>
      <c r="T65" s="6"/>
      <c r="U65" s="6"/>
      <c r="V65" s="6"/>
      <c r="W65" s="6"/>
      <c r="X65" s="24"/>
      <c r="Y65" s="159"/>
      <c r="Z65" s="6"/>
      <c r="AA65" s="24"/>
      <c r="AB65" s="159"/>
      <c r="AC65" s="6"/>
      <c r="AD65" s="6"/>
      <c r="AE65" s="23"/>
      <c r="AF65" s="6"/>
      <c r="AG65" s="6"/>
      <c r="AH65" s="101">
        <f t="shared" si="1"/>
        <v>0</v>
      </c>
    </row>
    <row r="66" spans="1:34" ht="25.5" x14ac:dyDescent="0.2">
      <c r="A66" s="18" t="s">
        <v>23</v>
      </c>
      <c r="B66" s="31"/>
      <c r="C66" s="31"/>
      <c r="D66" s="31"/>
      <c r="E66" s="216"/>
      <c r="F66" s="31">
        <v>38.97</v>
      </c>
      <c r="G66" s="7"/>
      <c r="H66" s="7">
        <v>52961.03</v>
      </c>
      <c r="I66" s="7">
        <v>0</v>
      </c>
      <c r="J66" s="62">
        <v>0</v>
      </c>
      <c r="K66" s="43"/>
      <c r="L66" s="7">
        <v>130000</v>
      </c>
      <c r="M66" s="7">
        <v>65000</v>
      </c>
      <c r="N66" s="32">
        <v>65000</v>
      </c>
      <c r="O66" s="131"/>
      <c r="P66" s="7">
        <v>112039</v>
      </c>
      <c r="Q66" s="131"/>
      <c r="R66" s="62"/>
      <c r="S66" s="31"/>
      <c r="T66" s="6"/>
      <c r="U66" s="6"/>
      <c r="V66" s="6"/>
      <c r="W66" s="6"/>
      <c r="X66" s="24"/>
      <c r="Y66" s="159"/>
      <c r="Z66" s="6"/>
      <c r="AA66" s="24"/>
      <c r="AB66" s="159"/>
      <c r="AC66" s="6"/>
      <c r="AD66" s="6"/>
      <c r="AE66" s="23"/>
      <c r="AF66" s="6"/>
      <c r="AG66" s="6"/>
      <c r="AH66" s="101">
        <f t="shared" si="1"/>
        <v>0</v>
      </c>
    </row>
    <row r="67" spans="1:34" ht="25.5" x14ac:dyDescent="0.2">
      <c r="A67" s="18" t="s">
        <v>160</v>
      </c>
      <c r="B67" s="31"/>
      <c r="C67" s="31"/>
      <c r="D67" s="31"/>
      <c r="E67" s="216"/>
      <c r="F67" s="31"/>
      <c r="G67" s="7"/>
      <c r="H67" s="7">
        <v>7800</v>
      </c>
      <c r="I67" s="7"/>
      <c r="J67" s="62"/>
      <c r="K67" s="43"/>
      <c r="L67" s="7">
        <v>5700</v>
      </c>
      <c r="M67" s="7"/>
      <c r="N67" s="32"/>
      <c r="O67" s="131"/>
      <c r="P67" s="7"/>
      <c r="Q67" s="131"/>
      <c r="R67" s="62"/>
      <c r="S67" s="31"/>
      <c r="T67" s="6"/>
      <c r="U67" s="6"/>
      <c r="V67" s="6"/>
      <c r="W67" s="6"/>
      <c r="X67" s="24"/>
      <c r="Y67" s="159"/>
      <c r="Z67" s="6"/>
      <c r="AA67" s="24"/>
      <c r="AB67" s="159"/>
      <c r="AC67" s="6"/>
      <c r="AD67" s="6"/>
      <c r="AE67" s="23"/>
      <c r="AF67" s="6"/>
      <c r="AG67" s="6"/>
      <c r="AH67" s="101">
        <f t="shared" si="1"/>
        <v>0</v>
      </c>
    </row>
    <row r="68" spans="1:34" s="8" customFormat="1" x14ac:dyDescent="0.2">
      <c r="A68" s="17" t="s">
        <v>30</v>
      </c>
      <c r="B68" s="25">
        <f t="shared" ref="B68:AG68" si="6">SUM(B55:B67)</f>
        <v>0</v>
      </c>
      <c r="C68" s="25">
        <f t="shared" si="6"/>
        <v>0</v>
      </c>
      <c r="D68" s="25">
        <f t="shared" si="6"/>
        <v>27131.74</v>
      </c>
      <c r="E68" s="142">
        <f t="shared" si="6"/>
        <v>0</v>
      </c>
      <c r="F68" s="199">
        <f t="shared" si="6"/>
        <v>38.97</v>
      </c>
      <c r="G68" s="191">
        <f t="shared" si="6"/>
        <v>576.05999999999995</v>
      </c>
      <c r="H68" s="191">
        <f t="shared" si="6"/>
        <v>139621.72999999998</v>
      </c>
      <c r="I68" s="191">
        <f t="shared" si="6"/>
        <v>59021.11</v>
      </c>
      <c r="J68" s="218">
        <f t="shared" si="6"/>
        <v>576.05999999999995</v>
      </c>
      <c r="K68" s="199">
        <f t="shared" si="6"/>
        <v>0</v>
      </c>
      <c r="L68" s="191">
        <f t="shared" si="6"/>
        <v>315150</v>
      </c>
      <c r="M68" s="191">
        <f t="shared" si="6"/>
        <v>160751</v>
      </c>
      <c r="N68" s="200">
        <f t="shared" si="6"/>
        <v>161231</v>
      </c>
      <c r="O68" s="200">
        <f t="shared" si="6"/>
        <v>46900</v>
      </c>
      <c r="P68" s="191">
        <f t="shared" si="6"/>
        <v>230705</v>
      </c>
      <c r="Q68" s="161">
        <f t="shared" si="6"/>
        <v>32822</v>
      </c>
      <c r="R68" s="142">
        <f t="shared" si="6"/>
        <v>108296</v>
      </c>
      <c r="S68" s="199">
        <f t="shared" si="6"/>
        <v>0</v>
      </c>
      <c r="T68" s="191">
        <f t="shared" si="6"/>
        <v>0</v>
      </c>
      <c r="U68" s="191">
        <f t="shared" si="6"/>
        <v>0</v>
      </c>
      <c r="V68" s="191">
        <f t="shared" si="6"/>
        <v>97750</v>
      </c>
      <c r="W68" s="191">
        <f t="shared" si="6"/>
        <v>10200</v>
      </c>
      <c r="X68" s="200">
        <f t="shared" si="6"/>
        <v>52250</v>
      </c>
      <c r="Y68" s="205"/>
      <c r="Z68" s="191">
        <f t="shared" si="6"/>
        <v>139500</v>
      </c>
      <c r="AA68" s="200">
        <f t="shared" si="6"/>
        <v>145000</v>
      </c>
      <c r="AB68" s="161">
        <f t="shared" si="6"/>
        <v>0</v>
      </c>
      <c r="AC68" s="25">
        <f t="shared" si="6"/>
        <v>0</v>
      </c>
      <c r="AD68" s="25">
        <f t="shared" si="6"/>
        <v>40000</v>
      </c>
      <c r="AE68" s="25">
        <f t="shared" si="6"/>
        <v>0</v>
      </c>
      <c r="AF68" s="25">
        <f t="shared" si="6"/>
        <v>0</v>
      </c>
      <c r="AG68" s="25">
        <f t="shared" si="6"/>
        <v>0</v>
      </c>
      <c r="AH68" s="101">
        <f t="shared" si="1"/>
        <v>-577.21000000002095</v>
      </c>
    </row>
    <row r="69" spans="1:34" s="37" customFormat="1" x14ac:dyDescent="0.2">
      <c r="A69" s="128" t="s">
        <v>102</v>
      </c>
      <c r="B69" s="43"/>
      <c r="C69" s="43"/>
      <c r="D69" s="43"/>
      <c r="E69" s="213"/>
      <c r="F69" s="43"/>
      <c r="G69" s="45"/>
      <c r="H69" s="45"/>
      <c r="I69" s="45"/>
      <c r="J69" s="58"/>
      <c r="K69" s="43"/>
      <c r="L69" s="45"/>
      <c r="M69" s="45">
        <v>0</v>
      </c>
      <c r="N69" s="46"/>
      <c r="O69" s="55"/>
      <c r="P69" s="45"/>
      <c r="Q69" s="55">
        <v>17000</v>
      </c>
      <c r="R69" s="58">
        <v>17000</v>
      </c>
      <c r="S69" s="43"/>
      <c r="T69" s="45"/>
      <c r="U69" s="45"/>
      <c r="V69" s="45"/>
      <c r="W69" s="45"/>
      <c r="X69" s="46"/>
      <c r="Y69" s="146"/>
      <c r="Z69" s="45"/>
      <c r="AA69" s="46"/>
      <c r="AB69" s="146"/>
      <c r="AC69" s="45"/>
      <c r="AD69" s="45"/>
      <c r="AE69" s="43"/>
      <c r="AF69" s="45"/>
      <c r="AG69" s="45"/>
      <c r="AH69" s="101">
        <f t="shared" si="1"/>
        <v>0</v>
      </c>
    </row>
    <row r="70" spans="1:34" s="37" customFormat="1" x14ac:dyDescent="0.2">
      <c r="A70" s="128" t="s">
        <v>194</v>
      </c>
      <c r="B70" s="43"/>
      <c r="C70" s="43">
        <v>569</v>
      </c>
      <c r="D70" s="43"/>
      <c r="E70" s="213"/>
      <c r="F70" s="43"/>
      <c r="G70" s="45"/>
      <c r="H70" s="45"/>
      <c r="I70" s="45"/>
      <c r="J70" s="58"/>
      <c r="K70" s="43"/>
      <c r="L70" s="45"/>
      <c r="M70" s="45"/>
      <c r="N70" s="46"/>
      <c r="O70" s="55"/>
      <c r="P70" s="45"/>
      <c r="Q70" s="55"/>
      <c r="R70" s="58"/>
      <c r="S70" s="43"/>
      <c r="T70" s="45"/>
      <c r="U70" s="45"/>
      <c r="V70" s="45"/>
      <c r="W70" s="45"/>
      <c r="X70" s="46"/>
      <c r="Y70" s="146"/>
      <c r="Z70" s="45"/>
      <c r="AA70" s="46"/>
      <c r="AB70" s="146"/>
      <c r="AC70" s="45"/>
      <c r="AD70" s="45"/>
      <c r="AE70" s="43"/>
      <c r="AF70" s="45"/>
      <c r="AG70" s="45"/>
      <c r="AH70" s="229">
        <f t="shared" si="1"/>
        <v>569</v>
      </c>
    </row>
    <row r="71" spans="1:34" s="37" customFormat="1" x14ac:dyDescent="0.2">
      <c r="A71" s="128" t="s">
        <v>103</v>
      </c>
      <c r="B71" s="43"/>
      <c r="C71" s="43"/>
      <c r="D71" s="43">
        <v>1730.77</v>
      </c>
      <c r="E71" s="213"/>
      <c r="F71" s="43"/>
      <c r="G71" s="45"/>
      <c r="H71" s="45"/>
      <c r="I71" s="45">
        <v>1000</v>
      </c>
      <c r="J71" s="58"/>
      <c r="K71" s="43"/>
      <c r="L71" s="45"/>
      <c r="M71" s="45">
        <v>3800</v>
      </c>
      <c r="N71" s="46">
        <v>6531</v>
      </c>
      <c r="O71" s="55"/>
      <c r="P71" s="45"/>
      <c r="Q71" s="55"/>
      <c r="R71" s="58"/>
      <c r="S71" s="43"/>
      <c r="T71" s="45"/>
      <c r="U71" s="45"/>
      <c r="V71" s="45"/>
      <c r="W71" s="45"/>
      <c r="X71" s="46"/>
      <c r="Y71" s="146"/>
      <c r="Z71" s="45"/>
      <c r="AA71" s="46"/>
      <c r="AB71" s="146"/>
      <c r="AC71" s="45"/>
      <c r="AD71" s="45"/>
      <c r="AE71" s="43"/>
      <c r="AF71" s="45"/>
      <c r="AG71" s="45"/>
      <c r="AH71" s="101">
        <f t="shared" si="1"/>
        <v>-0.22999999999956344</v>
      </c>
    </row>
    <row r="72" spans="1:34" s="37" customFormat="1" x14ac:dyDescent="0.2">
      <c r="A72" s="128" t="s">
        <v>104</v>
      </c>
      <c r="B72" s="43"/>
      <c r="C72" s="43"/>
      <c r="D72" s="43">
        <v>2331.21</v>
      </c>
      <c r="E72" s="213"/>
      <c r="F72" s="43"/>
      <c r="G72" s="45"/>
      <c r="H72" s="45"/>
      <c r="I72" s="45">
        <v>17968.79</v>
      </c>
      <c r="J72" s="58"/>
      <c r="K72" s="43"/>
      <c r="L72" s="45"/>
      <c r="M72" s="45">
        <v>7000</v>
      </c>
      <c r="N72" s="46"/>
      <c r="O72" s="55"/>
      <c r="P72" s="45"/>
      <c r="Q72" s="55"/>
      <c r="R72" s="58">
        <v>27300</v>
      </c>
      <c r="S72" s="43"/>
      <c r="T72" s="45"/>
      <c r="U72" s="45"/>
      <c r="V72" s="45"/>
      <c r="W72" s="45"/>
      <c r="X72" s="46"/>
      <c r="Y72" s="146"/>
      <c r="Z72" s="45"/>
      <c r="AA72" s="46"/>
      <c r="AB72" s="146"/>
      <c r="AC72" s="45"/>
      <c r="AD72" s="45"/>
      <c r="AE72" s="43"/>
      <c r="AF72" s="45"/>
      <c r="AG72" s="45"/>
      <c r="AH72" s="101">
        <f t="shared" si="1"/>
        <v>0</v>
      </c>
    </row>
    <row r="73" spans="1:34" s="37" customFormat="1" x14ac:dyDescent="0.2">
      <c r="A73" s="128" t="s">
        <v>105</v>
      </c>
      <c r="B73" s="43"/>
      <c r="C73" s="43"/>
      <c r="D73" s="43">
        <v>3264.72</v>
      </c>
      <c r="E73" s="213"/>
      <c r="F73" s="43"/>
      <c r="G73" s="45"/>
      <c r="H73" s="45"/>
      <c r="I73" s="45">
        <v>4344.17</v>
      </c>
      <c r="J73" s="58">
        <v>7608.89</v>
      </c>
      <c r="K73" s="43"/>
      <c r="L73" s="45"/>
      <c r="M73" s="45"/>
      <c r="N73" s="46"/>
      <c r="O73" s="55"/>
      <c r="P73" s="45"/>
      <c r="Q73" s="55"/>
      <c r="R73" s="58"/>
      <c r="S73" s="43"/>
      <c r="T73" s="45"/>
      <c r="U73" s="45"/>
      <c r="V73" s="45"/>
      <c r="W73" s="45"/>
      <c r="X73" s="46"/>
      <c r="Y73" s="146"/>
      <c r="Z73" s="45"/>
      <c r="AA73" s="46"/>
      <c r="AB73" s="146"/>
      <c r="AC73" s="45"/>
      <c r="AD73" s="45"/>
      <c r="AE73" s="43"/>
      <c r="AF73" s="45"/>
      <c r="AG73" s="45"/>
      <c r="AH73" s="101">
        <f t="shared" si="1"/>
        <v>-9.0949470177292824E-13</v>
      </c>
    </row>
    <row r="74" spans="1:34" s="37" customFormat="1" ht="25.5" x14ac:dyDescent="0.2">
      <c r="A74" s="128" t="s">
        <v>106</v>
      </c>
      <c r="B74" s="43"/>
      <c r="C74" s="43"/>
      <c r="D74" s="43">
        <v>1152.77</v>
      </c>
      <c r="E74" s="213"/>
      <c r="F74" s="43"/>
      <c r="G74" s="45"/>
      <c r="H74" s="45"/>
      <c r="I74" s="45">
        <v>5639.32</v>
      </c>
      <c r="J74" s="58">
        <v>6792.08</v>
      </c>
      <c r="K74" s="43"/>
      <c r="L74" s="45"/>
      <c r="M74" s="45"/>
      <c r="N74" s="46"/>
      <c r="O74" s="55"/>
      <c r="P74" s="45"/>
      <c r="Q74" s="55"/>
      <c r="R74" s="58"/>
      <c r="S74" s="43"/>
      <c r="T74" s="45"/>
      <c r="U74" s="45"/>
      <c r="V74" s="45"/>
      <c r="W74" s="45"/>
      <c r="X74" s="46"/>
      <c r="Y74" s="146"/>
      <c r="Z74" s="45"/>
      <c r="AA74" s="46"/>
      <c r="AB74" s="146"/>
      <c r="AC74" s="45"/>
      <c r="AD74" s="45"/>
      <c r="AE74" s="43"/>
      <c r="AF74" s="45"/>
      <c r="AG74" s="45"/>
      <c r="AH74" s="101">
        <f t="shared" si="1"/>
        <v>1.0000000000218279E-2</v>
      </c>
    </row>
    <row r="75" spans="1:34" s="37" customFormat="1" x14ac:dyDescent="0.2">
      <c r="A75" s="128" t="s">
        <v>107</v>
      </c>
      <c r="B75" s="43"/>
      <c r="C75" s="43"/>
      <c r="D75" s="43"/>
      <c r="E75" s="213"/>
      <c r="F75" s="43"/>
      <c r="G75" s="45"/>
      <c r="H75" s="45">
        <v>0</v>
      </c>
      <c r="I75" s="45">
        <v>0</v>
      </c>
      <c r="J75" s="58"/>
      <c r="K75" s="43"/>
      <c r="L75" s="45"/>
      <c r="M75" s="45">
        <v>2500</v>
      </c>
      <c r="N75" s="46"/>
      <c r="O75" s="55"/>
      <c r="P75" s="45"/>
      <c r="Q75" s="55">
        <v>15930</v>
      </c>
      <c r="R75" s="58">
        <v>18430</v>
      </c>
      <c r="S75" s="43"/>
      <c r="T75" s="45"/>
      <c r="U75" s="45"/>
      <c r="V75" s="45"/>
      <c r="W75" s="45"/>
      <c r="X75" s="46"/>
      <c r="Y75" s="146"/>
      <c r="Z75" s="45"/>
      <c r="AA75" s="46"/>
      <c r="AB75" s="146"/>
      <c r="AC75" s="45"/>
      <c r="AD75" s="45"/>
      <c r="AE75" s="43"/>
      <c r="AF75" s="45"/>
      <c r="AG75" s="45"/>
      <c r="AH75" s="101">
        <f t="shared" si="1"/>
        <v>0</v>
      </c>
    </row>
    <row r="76" spans="1:34" s="37" customFormat="1" x14ac:dyDescent="0.2">
      <c r="A76" s="122" t="s">
        <v>108</v>
      </c>
      <c r="B76" s="43"/>
      <c r="C76" s="43"/>
      <c r="D76" s="43"/>
      <c r="E76" s="213"/>
      <c r="F76" s="43"/>
      <c r="G76" s="44"/>
      <c r="H76" s="45">
        <v>0</v>
      </c>
      <c r="I76" s="45">
        <v>0</v>
      </c>
      <c r="J76" s="58"/>
      <c r="K76" s="43"/>
      <c r="L76" s="45"/>
      <c r="M76" s="45">
        <v>0</v>
      </c>
      <c r="N76" s="46"/>
      <c r="O76" s="55"/>
      <c r="P76" s="45"/>
      <c r="Q76" s="124"/>
      <c r="R76" s="58">
        <v>0</v>
      </c>
      <c r="S76" s="43"/>
      <c r="T76" s="45"/>
      <c r="U76" s="120"/>
      <c r="V76" s="120"/>
      <c r="W76" s="120"/>
      <c r="X76" s="121"/>
      <c r="Y76" s="162"/>
      <c r="Z76" s="120"/>
      <c r="AA76" s="121"/>
      <c r="AB76" s="162"/>
      <c r="AC76" s="120"/>
      <c r="AD76" s="120"/>
      <c r="AE76" s="152"/>
      <c r="AF76" s="120"/>
      <c r="AG76" s="120"/>
      <c r="AH76" s="101">
        <f t="shared" si="1"/>
        <v>0</v>
      </c>
    </row>
    <row r="77" spans="1:34" s="37" customFormat="1" ht="25.5" x14ac:dyDescent="0.2">
      <c r="A77" s="128" t="s">
        <v>77</v>
      </c>
      <c r="B77" s="43"/>
      <c r="C77" s="43">
        <v>15545.257169999999</v>
      </c>
      <c r="D77" s="43"/>
      <c r="E77" s="213">
        <v>15545.26</v>
      </c>
      <c r="F77" s="43"/>
      <c r="G77" s="44"/>
      <c r="H77" s="45"/>
      <c r="I77" s="45"/>
      <c r="J77" s="58"/>
      <c r="K77" s="43"/>
      <c r="L77" s="45"/>
      <c r="M77" s="45"/>
      <c r="N77" s="46"/>
      <c r="O77" s="55"/>
      <c r="P77" s="45"/>
      <c r="Q77" s="55"/>
      <c r="R77" s="58"/>
      <c r="S77" s="43"/>
      <c r="T77" s="45"/>
      <c r="U77" s="45"/>
      <c r="V77" s="45"/>
      <c r="W77" s="45"/>
      <c r="X77" s="46"/>
      <c r="Y77" s="146"/>
      <c r="Z77" s="45"/>
      <c r="AA77" s="46"/>
      <c r="AB77" s="146"/>
      <c r="AC77" s="45"/>
      <c r="AD77" s="45"/>
      <c r="AE77" s="43"/>
      <c r="AF77" s="45"/>
      <c r="AG77" s="45"/>
      <c r="AH77" s="101">
        <f t="shared" si="1"/>
        <v>-2.8300000012677629E-3</v>
      </c>
    </row>
    <row r="78" spans="1:34" s="37" customFormat="1" ht="25.5" x14ac:dyDescent="0.2">
      <c r="A78" s="128" t="s">
        <v>79</v>
      </c>
      <c r="B78" s="43"/>
      <c r="C78" s="43">
        <v>10290.78996</v>
      </c>
      <c r="D78" s="43">
        <v>1156.56</v>
      </c>
      <c r="E78" s="213">
        <v>11447.35</v>
      </c>
      <c r="F78" s="43"/>
      <c r="G78" s="44"/>
      <c r="H78" s="45"/>
      <c r="I78" s="45"/>
      <c r="J78" s="58"/>
      <c r="K78" s="43"/>
      <c r="L78" s="45"/>
      <c r="M78" s="45"/>
      <c r="N78" s="46"/>
      <c r="O78" s="55"/>
      <c r="P78" s="45"/>
      <c r="Q78" s="55"/>
      <c r="R78" s="58"/>
      <c r="S78" s="43"/>
      <c r="T78" s="45"/>
      <c r="U78" s="45"/>
      <c r="V78" s="45"/>
      <c r="W78" s="45"/>
      <c r="X78" s="46"/>
      <c r="Y78" s="146"/>
      <c r="Z78" s="45"/>
      <c r="AA78" s="46"/>
      <c r="AB78" s="146"/>
      <c r="AC78" s="45"/>
      <c r="AD78" s="45"/>
      <c r="AE78" s="43"/>
      <c r="AF78" s="45"/>
      <c r="AG78" s="45"/>
      <c r="AH78" s="101">
        <f t="shared" si="1"/>
        <v>-4.000000080850441E-5</v>
      </c>
    </row>
    <row r="79" spans="1:34" s="37" customFormat="1" x14ac:dyDescent="0.2">
      <c r="A79" s="128" t="s">
        <v>78</v>
      </c>
      <c r="B79" s="43"/>
      <c r="C79" s="43"/>
      <c r="D79" s="43"/>
      <c r="E79" s="213"/>
      <c r="F79" s="43"/>
      <c r="G79" s="44">
        <v>359.74</v>
      </c>
      <c r="H79" s="45"/>
      <c r="I79" s="45"/>
      <c r="J79" s="44">
        <v>359.74</v>
      </c>
      <c r="K79" s="43"/>
      <c r="L79" s="45"/>
      <c r="M79" s="45"/>
      <c r="N79" s="46"/>
      <c r="O79" s="55"/>
      <c r="P79" s="45"/>
      <c r="Q79" s="55"/>
      <c r="R79" s="58"/>
      <c r="S79" s="43"/>
      <c r="T79" s="45"/>
      <c r="U79" s="45"/>
      <c r="V79" s="45"/>
      <c r="W79" s="45"/>
      <c r="X79" s="46"/>
      <c r="Y79" s="146"/>
      <c r="Z79" s="45"/>
      <c r="AA79" s="46"/>
      <c r="AB79" s="146"/>
      <c r="AC79" s="45"/>
      <c r="AD79" s="45"/>
      <c r="AE79" s="43"/>
      <c r="AF79" s="45"/>
      <c r="AG79" s="45"/>
      <c r="AH79" s="101">
        <f>C79+D79+I79+M79+Q79+U79-E79-J79-N79-R79-W79</f>
        <v>-359.74</v>
      </c>
    </row>
    <row r="80" spans="1:34" s="37" customFormat="1" x14ac:dyDescent="0.2">
      <c r="A80" s="128" t="s">
        <v>80</v>
      </c>
      <c r="B80" s="43"/>
      <c r="C80" s="43"/>
      <c r="D80" s="43">
        <v>2148.46</v>
      </c>
      <c r="E80" s="213"/>
      <c r="F80" s="43"/>
      <c r="G80" s="44"/>
      <c r="H80" s="45"/>
      <c r="I80" s="45">
        <f>5292+3701.2</f>
        <v>8993.2000000000007</v>
      </c>
      <c r="J80" s="58"/>
      <c r="K80" s="43"/>
      <c r="L80" s="45"/>
      <c r="M80" s="45"/>
      <c r="N80" s="46">
        <v>11142</v>
      </c>
      <c r="O80" s="55"/>
      <c r="P80" s="45"/>
      <c r="Q80" s="55"/>
      <c r="R80" s="58"/>
      <c r="S80" s="43"/>
      <c r="T80" s="45"/>
      <c r="U80" s="45"/>
      <c r="V80" s="45"/>
      <c r="W80" s="45"/>
      <c r="X80" s="46"/>
      <c r="Y80" s="146"/>
      <c r="Z80" s="45"/>
      <c r="AA80" s="46"/>
      <c r="AB80" s="146"/>
      <c r="AC80" s="45"/>
      <c r="AD80" s="45"/>
      <c r="AE80" s="43"/>
      <c r="AF80" s="45"/>
      <c r="AG80" s="45"/>
      <c r="AH80" s="101">
        <f t="shared" si="1"/>
        <v>-0.34000000000014552</v>
      </c>
    </row>
    <row r="81" spans="1:34" s="37" customFormat="1" ht="25.5" x14ac:dyDescent="0.2">
      <c r="A81" s="128" t="s">
        <v>81</v>
      </c>
      <c r="B81" s="43"/>
      <c r="C81" s="43"/>
      <c r="D81" s="43"/>
      <c r="E81" s="213"/>
      <c r="F81" s="43"/>
      <c r="G81" s="44"/>
      <c r="H81" s="45"/>
      <c r="I81" s="45"/>
      <c r="J81" s="58"/>
      <c r="K81" s="43"/>
      <c r="L81" s="45"/>
      <c r="M81" s="45">
        <v>3473</v>
      </c>
      <c r="N81" s="46"/>
      <c r="O81" s="55"/>
      <c r="P81" s="45"/>
      <c r="Q81" s="55"/>
      <c r="R81" s="58">
        <v>3473</v>
      </c>
      <c r="S81" s="43"/>
      <c r="T81" s="45"/>
      <c r="U81" s="45"/>
      <c r="V81" s="45"/>
      <c r="W81" s="45"/>
      <c r="X81" s="46"/>
      <c r="Y81" s="146"/>
      <c r="Z81" s="45"/>
      <c r="AA81" s="46"/>
      <c r="AB81" s="146"/>
      <c r="AC81" s="45"/>
      <c r="AD81" s="45"/>
      <c r="AE81" s="43"/>
      <c r="AF81" s="45"/>
      <c r="AG81" s="45"/>
      <c r="AH81" s="101">
        <f t="shared" si="1"/>
        <v>0</v>
      </c>
    </row>
    <row r="82" spans="1:34" s="37" customFormat="1" x14ac:dyDescent="0.2">
      <c r="A82" s="128" t="s">
        <v>82</v>
      </c>
      <c r="B82" s="43"/>
      <c r="C82" s="43"/>
      <c r="D82" s="43"/>
      <c r="E82" s="213"/>
      <c r="F82" s="43"/>
      <c r="G82" s="44"/>
      <c r="H82" s="45"/>
      <c r="I82" s="45"/>
      <c r="J82" s="58"/>
      <c r="K82" s="43"/>
      <c r="L82" s="45"/>
      <c r="M82" s="45">
        <v>4096</v>
      </c>
      <c r="N82" s="46"/>
      <c r="O82" s="55"/>
      <c r="P82" s="45"/>
      <c r="Q82" s="55"/>
      <c r="R82" s="58">
        <v>4096</v>
      </c>
      <c r="S82" s="43"/>
      <c r="T82" s="45"/>
      <c r="U82" s="45"/>
      <c r="V82" s="45"/>
      <c r="W82" s="45"/>
      <c r="X82" s="46"/>
      <c r="Y82" s="146"/>
      <c r="Z82" s="45"/>
      <c r="AA82" s="46"/>
      <c r="AB82" s="146"/>
      <c r="AC82" s="45"/>
      <c r="AD82" s="45"/>
      <c r="AE82" s="43"/>
      <c r="AF82" s="45"/>
      <c r="AG82" s="45"/>
      <c r="AH82" s="101">
        <f t="shared" si="1"/>
        <v>0</v>
      </c>
    </row>
    <row r="83" spans="1:34" s="37" customFormat="1" x14ac:dyDescent="0.2">
      <c r="A83" s="128" t="s">
        <v>83</v>
      </c>
      <c r="B83" s="43"/>
      <c r="C83" s="43"/>
      <c r="D83" s="43"/>
      <c r="E83" s="213"/>
      <c r="F83" s="43"/>
      <c r="G83" s="44"/>
      <c r="H83" s="45"/>
      <c r="I83" s="45"/>
      <c r="J83" s="58"/>
      <c r="K83" s="43"/>
      <c r="L83" s="45"/>
      <c r="M83" s="45">
        <v>3819</v>
      </c>
      <c r="N83" s="46"/>
      <c r="O83" s="55"/>
      <c r="P83" s="45"/>
      <c r="Q83" s="55"/>
      <c r="R83" s="58">
        <v>3819</v>
      </c>
      <c r="S83" s="43"/>
      <c r="T83" s="45"/>
      <c r="U83" s="45"/>
      <c r="V83" s="45"/>
      <c r="W83" s="45"/>
      <c r="X83" s="46"/>
      <c r="Y83" s="146"/>
      <c r="Z83" s="45"/>
      <c r="AA83" s="46"/>
      <c r="AB83" s="146"/>
      <c r="AC83" s="45"/>
      <c r="AD83" s="45"/>
      <c r="AE83" s="43"/>
      <c r="AF83" s="45"/>
      <c r="AG83" s="45"/>
      <c r="AH83" s="101">
        <f t="shared" si="1"/>
        <v>0</v>
      </c>
    </row>
    <row r="84" spans="1:34" s="37" customFormat="1" x14ac:dyDescent="0.2">
      <c r="A84" s="128" t="s">
        <v>84</v>
      </c>
      <c r="B84" s="43"/>
      <c r="C84" s="43"/>
      <c r="D84" s="43"/>
      <c r="E84" s="213"/>
      <c r="F84" s="43"/>
      <c r="G84" s="44"/>
      <c r="H84" s="45"/>
      <c r="I84" s="45"/>
      <c r="J84" s="58"/>
      <c r="K84" s="43"/>
      <c r="L84" s="45"/>
      <c r="M84" s="45">
        <v>7264</v>
      </c>
      <c r="N84" s="46"/>
      <c r="O84" s="55"/>
      <c r="P84" s="45"/>
      <c r="Q84" s="55"/>
      <c r="R84" s="58">
        <v>7264</v>
      </c>
      <c r="S84" s="43"/>
      <c r="T84" s="45"/>
      <c r="U84" s="45"/>
      <c r="V84" s="45"/>
      <c r="W84" s="45"/>
      <c r="X84" s="46"/>
      <c r="Y84" s="146"/>
      <c r="Z84" s="45"/>
      <c r="AA84" s="46"/>
      <c r="AB84" s="146"/>
      <c r="AC84" s="45"/>
      <c r="AD84" s="45"/>
      <c r="AE84" s="43"/>
      <c r="AF84" s="45"/>
      <c r="AG84" s="45"/>
      <c r="AH84" s="101">
        <f t="shared" si="1"/>
        <v>0</v>
      </c>
    </row>
    <row r="85" spans="1:34" s="37" customFormat="1" x14ac:dyDescent="0.2">
      <c r="A85" s="128" t="s">
        <v>86</v>
      </c>
      <c r="B85" s="43"/>
      <c r="C85" s="43"/>
      <c r="D85" s="43"/>
      <c r="E85" s="213"/>
      <c r="F85" s="43"/>
      <c r="G85" s="44"/>
      <c r="H85" s="45"/>
      <c r="I85" s="45"/>
      <c r="J85" s="58"/>
      <c r="K85" s="43"/>
      <c r="L85" s="45"/>
      <c r="M85" s="45">
        <v>1561</v>
      </c>
      <c r="N85" s="46"/>
      <c r="O85" s="55"/>
      <c r="P85" s="45"/>
      <c r="Q85" s="55"/>
      <c r="R85" s="58">
        <v>1561</v>
      </c>
      <c r="S85" s="43"/>
      <c r="T85" s="45"/>
      <c r="U85" s="45"/>
      <c r="V85" s="45"/>
      <c r="W85" s="45"/>
      <c r="X85" s="46"/>
      <c r="Y85" s="146"/>
      <c r="Z85" s="45"/>
      <c r="AA85" s="46"/>
      <c r="AB85" s="146"/>
      <c r="AC85" s="45"/>
      <c r="AD85" s="45"/>
      <c r="AE85" s="43"/>
      <c r="AF85" s="45"/>
      <c r="AG85" s="45"/>
      <c r="AH85" s="101">
        <f t="shared" si="1"/>
        <v>0</v>
      </c>
    </row>
    <row r="86" spans="1:34" s="37" customFormat="1" x14ac:dyDescent="0.2">
      <c r="A86" s="128" t="s">
        <v>85</v>
      </c>
      <c r="B86" s="43"/>
      <c r="C86" s="43"/>
      <c r="D86" s="43"/>
      <c r="E86" s="213"/>
      <c r="F86" s="43"/>
      <c r="G86" s="44"/>
      <c r="H86" s="45"/>
      <c r="I86" s="45"/>
      <c r="J86" s="58"/>
      <c r="K86" s="43"/>
      <c r="L86" s="45">
        <v>26810</v>
      </c>
      <c r="M86" s="45">
        <v>12270</v>
      </c>
      <c r="N86" s="46"/>
      <c r="O86" s="55"/>
      <c r="P86" s="45"/>
      <c r="Q86" s="55"/>
      <c r="R86" s="58">
        <v>12270</v>
      </c>
      <c r="S86" s="43"/>
      <c r="T86" s="45"/>
      <c r="U86" s="45"/>
      <c r="V86" s="45"/>
      <c r="W86" s="45"/>
      <c r="X86" s="46"/>
      <c r="Y86" s="146"/>
      <c r="Z86" s="45"/>
      <c r="AA86" s="46"/>
      <c r="AB86" s="146"/>
      <c r="AC86" s="45"/>
      <c r="AD86" s="45"/>
      <c r="AE86" s="43"/>
      <c r="AF86" s="45"/>
      <c r="AG86" s="45"/>
      <c r="AH86" s="101">
        <f>C86+D86+I86+M86+Q86+U86-E86-J86-N86-R86-W86</f>
        <v>0</v>
      </c>
    </row>
    <row r="87" spans="1:34" s="37" customFormat="1" x14ac:dyDescent="0.2">
      <c r="A87" s="128" t="s">
        <v>87</v>
      </c>
      <c r="B87" s="43"/>
      <c r="C87" s="43"/>
      <c r="D87" s="43"/>
      <c r="E87" s="213"/>
      <c r="F87" s="43"/>
      <c r="G87" s="44"/>
      <c r="H87" s="45"/>
      <c r="I87" s="45"/>
      <c r="J87" s="58"/>
      <c r="K87" s="43"/>
      <c r="L87" s="45">
        <v>19097</v>
      </c>
      <c r="M87" s="45">
        <v>7683</v>
      </c>
      <c r="N87" s="46"/>
      <c r="O87" s="55"/>
      <c r="P87" s="45"/>
      <c r="Q87" s="55"/>
      <c r="R87" s="58">
        <v>7683</v>
      </c>
      <c r="S87" s="43"/>
      <c r="T87" s="45"/>
      <c r="U87" s="45"/>
      <c r="V87" s="45"/>
      <c r="W87" s="45"/>
      <c r="X87" s="46"/>
      <c r="Y87" s="146"/>
      <c r="Z87" s="45"/>
      <c r="AA87" s="46"/>
      <c r="AB87" s="146"/>
      <c r="AC87" s="45"/>
      <c r="AD87" s="45"/>
      <c r="AE87" s="43"/>
      <c r="AF87" s="45"/>
      <c r="AG87" s="45"/>
      <c r="AH87" s="101">
        <f t="shared" si="1"/>
        <v>0</v>
      </c>
    </row>
    <row r="88" spans="1:34" s="37" customFormat="1" x14ac:dyDescent="0.2">
      <c r="A88" s="128" t="s">
        <v>88</v>
      </c>
      <c r="B88" s="43"/>
      <c r="C88" s="43"/>
      <c r="D88" s="43"/>
      <c r="E88" s="213"/>
      <c r="F88" s="43"/>
      <c r="G88" s="44"/>
      <c r="H88" s="45"/>
      <c r="I88" s="45"/>
      <c r="J88" s="58"/>
      <c r="K88" s="43"/>
      <c r="L88" s="45">
        <v>38128</v>
      </c>
      <c r="M88" s="45">
        <v>10928</v>
      </c>
      <c r="N88" s="46"/>
      <c r="O88" s="55"/>
      <c r="P88" s="45"/>
      <c r="Q88" s="55"/>
      <c r="R88" s="58">
        <v>10928</v>
      </c>
      <c r="S88" s="43"/>
      <c r="T88" s="45"/>
      <c r="U88" s="45"/>
      <c r="V88" s="45"/>
      <c r="W88" s="45"/>
      <c r="X88" s="46"/>
      <c r="Y88" s="146"/>
      <c r="Z88" s="45"/>
      <c r="AA88" s="46"/>
      <c r="AB88" s="146"/>
      <c r="AC88" s="45"/>
      <c r="AD88" s="45"/>
      <c r="AE88" s="43"/>
      <c r="AF88" s="45"/>
      <c r="AG88" s="45"/>
      <c r="AH88" s="101">
        <f t="shared" si="1"/>
        <v>0</v>
      </c>
    </row>
    <row r="89" spans="1:34" s="37" customFormat="1" x14ac:dyDescent="0.2">
      <c r="A89" s="128" t="s">
        <v>89</v>
      </c>
      <c r="B89" s="43"/>
      <c r="C89" s="43"/>
      <c r="D89" s="43"/>
      <c r="E89" s="213"/>
      <c r="F89" s="43"/>
      <c r="G89" s="44"/>
      <c r="H89" s="45"/>
      <c r="I89" s="45"/>
      <c r="J89" s="58"/>
      <c r="K89" s="43"/>
      <c r="L89" s="45">
        <v>10963</v>
      </c>
      <c r="M89" s="45">
        <v>3356</v>
      </c>
      <c r="N89" s="46"/>
      <c r="O89" s="55"/>
      <c r="P89" s="45"/>
      <c r="Q89" s="55"/>
      <c r="R89" s="58">
        <v>3356</v>
      </c>
      <c r="S89" s="43"/>
      <c r="T89" s="45"/>
      <c r="U89" s="45"/>
      <c r="V89" s="45"/>
      <c r="W89" s="45"/>
      <c r="X89" s="46"/>
      <c r="Y89" s="146"/>
      <c r="Z89" s="45"/>
      <c r="AA89" s="46"/>
      <c r="AB89" s="146"/>
      <c r="AC89" s="45"/>
      <c r="AD89" s="45"/>
      <c r="AE89" s="43"/>
      <c r="AF89" s="45"/>
      <c r="AG89" s="45"/>
      <c r="AH89" s="101">
        <f t="shared" si="1"/>
        <v>0</v>
      </c>
    </row>
    <row r="90" spans="1:34" s="37" customFormat="1" x14ac:dyDescent="0.2">
      <c r="A90" s="128" t="s">
        <v>90</v>
      </c>
      <c r="B90" s="43"/>
      <c r="C90" s="43"/>
      <c r="D90" s="43"/>
      <c r="E90" s="213"/>
      <c r="F90" s="43"/>
      <c r="G90" s="44"/>
      <c r="H90" s="45"/>
      <c r="I90" s="45"/>
      <c r="J90" s="58"/>
      <c r="K90" s="43"/>
      <c r="L90" s="45"/>
      <c r="M90" s="45">
        <v>2380</v>
      </c>
      <c r="N90" s="46"/>
      <c r="O90" s="55"/>
      <c r="P90" s="45"/>
      <c r="Q90" s="55"/>
      <c r="R90" s="58">
        <v>2380</v>
      </c>
      <c r="S90" s="43"/>
      <c r="T90" s="45"/>
      <c r="U90" s="45"/>
      <c r="V90" s="45"/>
      <c r="W90" s="45"/>
      <c r="X90" s="46"/>
      <c r="Y90" s="146"/>
      <c r="Z90" s="45"/>
      <c r="AA90" s="46"/>
      <c r="AB90" s="146"/>
      <c r="AC90" s="45"/>
      <c r="AD90" s="45"/>
      <c r="AE90" s="43"/>
      <c r="AF90" s="45"/>
      <c r="AG90" s="45"/>
      <c r="AH90" s="101">
        <f t="shared" si="1"/>
        <v>0</v>
      </c>
    </row>
    <row r="91" spans="1:34" s="37" customFormat="1" x14ac:dyDescent="0.2">
      <c r="A91" s="128" t="s">
        <v>155</v>
      </c>
      <c r="B91" s="43"/>
      <c r="C91" s="43"/>
      <c r="D91" s="43"/>
      <c r="E91" s="213"/>
      <c r="F91" s="43"/>
      <c r="G91" s="44"/>
      <c r="H91" s="45"/>
      <c r="I91" s="45"/>
      <c r="J91" s="58"/>
      <c r="K91" s="43"/>
      <c r="L91" s="45"/>
      <c r="M91" s="45">
        <v>8191</v>
      </c>
      <c r="N91" s="46"/>
      <c r="O91" s="55"/>
      <c r="P91" s="45"/>
      <c r="Q91" s="55"/>
      <c r="R91" s="58">
        <v>8191</v>
      </c>
      <c r="S91" s="43"/>
      <c r="T91" s="45"/>
      <c r="U91" s="45"/>
      <c r="V91" s="45"/>
      <c r="W91" s="45"/>
      <c r="X91" s="46"/>
      <c r="Y91" s="146"/>
      <c r="Z91" s="45"/>
      <c r="AA91" s="46"/>
      <c r="AB91" s="146"/>
      <c r="AC91" s="45"/>
      <c r="AD91" s="45"/>
      <c r="AE91" s="43"/>
      <c r="AF91" s="45"/>
      <c r="AG91" s="45"/>
      <c r="AH91" s="101">
        <f t="shared" si="1"/>
        <v>0</v>
      </c>
    </row>
    <row r="92" spans="1:34" s="37" customFormat="1" x14ac:dyDescent="0.2">
      <c r="A92" s="122" t="s">
        <v>156</v>
      </c>
      <c r="B92" s="43"/>
      <c r="C92" s="43"/>
      <c r="D92" s="43"/>
      <c r="E92" s="213"/>
      <c r="F92" s="43"/>
      <c r="G92" s="44"/>
      <c r="H92" s="45"/>
      <c r="I92" s="45"/>
      <c r="J92" s="58"/>
      <c r="K92" s="43"/>
      <c r="L92" s="45"/>
      <c r="M92" s="6">
        <v>0</v>
      </c>
      <c r="N92" s="24"/>
      <c r="O92" s="56"/>
      <c r="P92" s="45"/>
      <c r="Q92" s="124"/>
      <c r="R92" s="123"/>
      <c r="S92" s="43"/>
      <c r="T92" s="45"/>
      <c r="U92" s="45"/>
      <c r="V92" s="45"/>
      <c r="W92" s="45"/>
      <c r="X92" s="46"/>
      <c r="Y92" s="146"/>
      <c r="Z92" s="45"/>
      <c r="AA92" s="46"/>
      <c r="AB92" s="146"/>
      <c r="AC92" s="45"/>
      <c r="AD92" s="45"/>
      <c r="AE92" s="43"/>
      <c r="AF92" s="45"/>
      <c r="AG92" s="45"/>
      <c r="AH92" s="101">
        <f t="shared" si="1"/>
        <v>0</v>
      </c>
    </row>
    <row r="93" spans="1:34" s="37" customFormat="1" ht="25.5" x14ac:dyDescent="0.2">
      <c r="A93" s="128" t="s">
        <v>157</v>
      </c>
      <c r="B93" s="43"/>
      <c r="C93" s="43"/>
      <c r="D93" s="43"/>
      <c r="E93" s="213"/>
      <c r="F93" s="43"/>
      <c r="G93" s="44"/>
      <c r="H93" s="45"/>
      <c r="I93" s="45"/>
      <c r="J93" s="58"/>
      <c r="K93" s="43"/>
      <c r="L93" s="45"/>
      <c r="M93" s="45">
        <v>9804</v>
      </c>
      <c r="N93" s="46"/>
      <c r="O93" s="55"/>
      <c r="P93" s="45"/>
      <c r="Q93" s="55"/>
      <c r="R93" s="58">
        <v>9804</v>
      </c>
      <c r="S93" s="43"/>
      <c r="T93" s="45"/>
      <c r="U93" s="45"/>
      <c r="V93" s="45"/>
      <c r="W93" s="45"/>
      <c r="X93" s="46"/>
      <c r="Y93" s="146"/>
      <c r="Z93" s="45"/>
      <c r="AA93" s="46"/>
      <c r="AB93" s="146"/>
      <c r="AC93" s="45"/>
      <c r="AD93" s="45"/>
      <c r="AE93" s="43"/>
      <c r="AF93" s="45"/>
      <c r="AG93" s="45"/>
      <c r="AH93" s="101">
        <f t="shared" si="1"/>
        <v>0</v>
      </c>
    </row>
    <row r="94" spans="1:34" s="37" customFormat="1" x14ac:dyDescent="0.2">
      <c r="A94" s="128" t="s">
        <v>158</v>
      </c>
      <c r="B94" s="43"/>
      <c r="C94" s="43"/>
      <c r="D94" s="43"/>
      <c r="E94" s="213"/>
      <c r="F94" s="43"/>
      <c r="G94" s="44"/>
      <c r="H94" s="45"/>
      <c r="I94" s="45"/>
      <c r="J94" s="58"/>
      <c r="K94" s="43"/>
      <c r="L94" s="45"/>
      <c r="M94" s="45">
        <v>11853</v>
      </c>
      <c r="N94" s="46"/>
      <c r="O94" s="55"/>
      <c r="P94" s="45"/>
      <c r="Q94" s="55"/>
      <c r="R94" s="58">
        <v>11853</v>
      </c>
      <c r="S94" s="43"/>
      <c r="T94" s="45"/>
      <c r="U94" s="45"/>
      <c r="V94" s="45"/>
      <c r="W94" s="45"/>
      <c r="X94" s="46"/>
      <c r="Y94" s="146"/>
      <c r="Z94" s="45"/>
      <c r="AA94" s="46"/>
      <c r="AB94" s="146"/>
      <c r="AC94" s="45"/>
      <c r="AD94" s="45"/>
      <c r="AE94" s="43"/>
      <c r="AF94" s="45"/>
      <c r="AG94" s="45"/>
      <c r="AH94" s="101">
        <f t="shared" si="1"/>
        <v>0</v>
      </c>
    </row>
    <row r="95" spans="1:34" s="37" customFormat="1" ht="25.5" x14ac:dyDescent="0.2">
      <c r="A95" s="128" t="s">
        <v>159</v>
      </c>
      <c r="B95" s="43"/>
      <c r="C95" s="43"/>
      <c r="D95" s="43"/>
      <c r="E95" s="213"/>
      <c r="F95" s="43"/>
      <c r="G95" s="44"/>
      <c r="H95" s="45"/>
      <c r="I95" s="45"/>
      <c r="J95" s="58"/>
      <c r="K95" s="43"/>
      <c r="L95" s="45"/>
      <c r="M95" s="45">
        <v>15042</v>
      </c>
      <c r="N95" s="46"/>
      <c r="O95" s="55"/>
      <c r="P95" s="45"/>
      <c r="Q95" s="55"/>
      <c r="R95" s="58">
        <v>15042</v>
      </c>
      <c r="S95" s="43"/>
      <c r="T95" s="45"/>
      <c r="U95" s="45"/>
      <c r="V95" s="45"/>
      <c r="W95" s="45"/>
      <c r="X95" s="46"/>
      <c r="Y95" s="146"/>
      <c r="Z95" s="45"/>
      <c r="AA95" s="46"/>
      <c r="AB95" s="146"/>
      <c r="AC95" s="45"/>
      <c r="AD95" s="45"/>
      <c r="AE95" s="43"/>
      <c r="AF95" s="45"/>
      <c r="AG95" s="45"/>
      <c r="AH95" s="101">
        <f t="shared" si="1"/>
        <v>0</v>
      </c>
    </row>
    <row r="96" spans="1:34" s="37" customFormat="1" ht="25.5" x14ac:dyDescent="0.2">
      <c r="A96" s="149" t="s">
        <v>207</v>
      </c>
      <c r="B96" s="146"/>
      <c r="C96" s="43"/>
      <c r="D96" s="43"/>
      <c r="E96" s="213"/>
      <c r="F96" s="43"/>
      <c r="G96" s="44"/>
      <c r="H96" s="45"/>
      <c r="I96" s="45"/>
      <c r="J96" s="58"/>
      <c r="K96" s="43"/>
      <c r="L96" s="45"/>
      <c r="M96" s="45">
        <v>30175</v>
      </c>
      <c r="N96" s="46"/>
      <c r="O96" s="55"/>
      <c r="P96" s="45"/>
      <c r="Q96" s="55">
        <v>87975</v>
      </c>
      <c r="R96" s="58">
        <v>30175</v>
      </c>
      <c r="S96" s="43"/>
      <c r="T96" s="45"/>
      <c r="U96" s="45"/>
      <c r="V96" s="45">
        <v>95540</v>
      </c>
      <c r="W96" s="45">
        <v>87975</v>
      </c>
      <c r="X96" s="46"/>
      <c r="Y96" s="146"/>
      <c r="Z96" s="45">
        <v>250155</v>
      </c>
      <c r="AA96" s="46">
        <v>95540</v>
      </c>
      <c r="AB96" s="146"/>
      <c r="AC96" s="45">
        <v>365500</v>
      </c>
      <c r="AD96" s="45">
        <v>250155</v>
      </c>
      <c r="AE96" s="43"/>
      <c r="AF96" s="45"/>
      <c r="AG96" s="45">
        <v>365500</v>
      </c>
      <c r="AH96" s="101">
        <f t="shared" si="1"/>
        <v>0</v>
      </c>
    </row>
    <row r="97" spans="1:34" s="37" customFormat="1" x14ac:dyDescent="0.2">
      <c r="A97" s="149" t="s">
        <v>208</v>
      </c>
      <c r="B97" s="146"/>
      <c r="C97" s="43"/>
      <c r="D97" s="43"/>
      <c r="E97" s="213"/>
      <c r="F97" s="43"/>
      <c r="G97" s="44"/>
      <c r="H97" s="45"/>
      <c r="I97" s="45"/>
      <c r="J97" s="58"/>
      <c r="K97" s="43"/>
      <c r="L97" s="45"/>
      <c r="M97" s="89">
        <v>4000</v>
      </c>
      <c r="N97" s="46"/>
      <c r="O97" s="55"/>
      <c r="P97" s="45"/>
      <c r="Q97" s="55">
        <v>4000</v>
      </c>
      <c r="R97" s="58">
        <v>4000</v>
      </c>
      <c r="S97" s="43"/>
      <c r="T97" s="45"/>
      <c r="U97" s="45"/>
      <c r="V97" s="45">
        <v>63500</v>
      </c>
      <c r="W97" s="45">
        <v>4000</v>
      </c>
      <c r="X97" s="46"/>
      <c r="Y97" s="146"/>
      <c r="Z97" s="45">
        <v>97500</v>
      </c>
      <c r="AA97" s="46">
        <v>63500</v>
      </c>
      <c r="AB97" s="146"/>
      <c r="AC97" s="45">
        <v>80000</v>
      </c>
      <c r="AD97" s="45">
        <v>97500</v>
      </c>
      <c r="AE97" s="43"/>
      <c r="AF97" s="45"/>
      <c r="AG97" s="45">
        <v>80000</v>
      </c>
      <c r="AH97" s="101">
        <f t="shared" si="1"/>
        <v>0</v>
      </c>
    </row>
    <row r="98" spans="1:34" ht="25.5" x14ac:dyDescent="0.2">
      <c r="A98" s="148" t="s">
        <v>179</v>
      </c>
      <c r="B98" s="23"/>
      <c r="C98" s="23"/>
      <c r="D98" s="23"/>
      <c r="E98" s="214"/>
      <c r="F98" s="23"/>
      <c r="G98" s="6"/>
      <c r="H98" s="6">
        <v>45000</v>
      </c>
      <c r="I98" s="6"/>
      <c r="J98" s="59"/>
      <c r="K98" s="23"/>
      <c r="L98" s="6">
        <v>0</v>
      </c>
      <c r="M98" s="6"/>
      <c r="N98" s="24"/>
      <c r="O98" s="56"/>
      <c r="P98" s="6">
        <v>0</v>
      </c>
      <c r="Q98" s="56"/>
      <c r="R98" s="59"/>
      <c r="S98" s="23"/>
      <c r="T98" s="6">
        <v>0</v>
      </c>
      <c r="U98" s="6"/>
      <c r="V98" s="6"/>
      <c r="W98" s="6"/>
      <c r="X98" s="24"/>
      <c r="Y98" s="159"/>
      <c r="Z98" s="6"/>
      <c r="AA98" s="24"/>
      <c r="AB98" s="159"/>
      <c r="AC98" s="6"/>
      <c r="AD98" s="6"/>
      <c r="AE98" s="23"/>
      <c r="AF98" s="6"/>
      <c r="AG98" s="6"/>
      <c r="AH98" s="101">
        <f t="shared" si="1"/>
        <v>0</v>
      </c>
    </row>
    <row r="99" spans="1:34" ht="25.5" x14ac:dyDescent="0.2">
      <c r="A99" s="16" t="s">
        <v>180</v>
      </c>
      <c r="B99" s="23"/>
      <c r="C99" s="23"/>
      <c r="D99" s="23"/>
      <c r="E99" s="214"/>
      <c r="F99" s="23"/>
      <c r="G99" s="6"/>
      <c r="H99" s="6">
        <v>0</v>
      </c>
      <c r="I99" s="6"/>
      <c r="J99" s="59"/>
      <c r="K99" s="47"/>
      <c r="L99" s="6">
        <v>5500</v>
      </c>
      <c r="M99" s="6"/>
      <c r="N99" s="24"/>
      <c r="O99" s="56"/>
      <c r="P99" s="6">
        <v>25000</v>
      </c>
      <c r="Q99" s="56"/>
      <c r="R99" s="59"/>
      <c r="S99" s="23"/>
      <c r="T99" s="6">
        <v>0</v>
      </c>
      <c r="U99" s="6"/>
      <c r="V99" s="6"/>
      <c r="W99" s="6"/>
      <c r="X99" s="24"/>
      <c r="Y99" s="159"/>
      <c r="Z99" s="6"/>
      <c r="AA99" s="24"/>
      <c r="AB99" s="159"/>
      <c r="AC99" s="6"/>
      <c r="AD99" s="6"/>
      <c r="AE99" s="23"/>
      <c r="AF99" s="6"/>
      <c r="AG99" s="6"/>
      <c r="AH99" s="101">
        <f t="shared" ref="AH99:AH106" si="7">C99+D99+I99+M99+Q99+U99-E99-J99-N99-R99-W99</f>
        <v>0</v>
      </c>
    </row>
    <row r="100" spans="1:34" ht="25.5" x14ac:dyDescent="0.2">
      <c r="A100" s="16" t="s">
        <v>181</v>
      </c>
      <c r="B100" s="23"/>
      <c r="C100" s="23"/>
      <c r="D100" s="23"/>
      <c r="E100" s="214"/>
      <c r="F100" s="23"/>
      <c r="G100" s="6"/>
      <c r="H100" s="6">
        <v>2090</v>
      </c>
      <c r="I100" s="6"/>
      <c r="J100" s="59"/>
      <c r="K100" s="47"/>
      <c r="L100" s="6">
        <v>0</v>
      </c>
      <c r="M100" s="6"/>
      <c r="N100" s="24"/>
      <c r="O100" s="56"/>
      <c r="P100" s="6">
        <v>26000</v>
      </c>
      <c r="Q100" s="56"/>
      <c r="R100" s="59"/>
      <c r="S100" s="23"/>
      <c r="T100" s="6">
        <v>27610</v>
      </c>
      <c r="U100" s="6"/>
      <c r="V100" s="6"/>
      <c r="W100" s="6"/>
      <c r="X100" s="24"/>
      <c r="Y100" s="159"/>
      <c r="Z100" s="6"/>
      <c r="AA100" s="24"/>
      <c r="AB100" s="159"/>
      <c r="AC100" s="6"/>
      <c r="AD100" s="6"/>
      <c r="AE100" s="23"/>
      <c r="AF100" s="6"/>
      <c r="AG100" s="6"/>
      <c r="AH100" s="101">
        <f t="shared" si="7"/>
        <v>0</v>
      </c>
    </row>
    <row r="101" spans="1:34" ht="38.25" x14ac:dyDescent="0.2">
      <c r="A101" s="16" t="s">
        <v>182</v>
      </c>
      <c r="B101" s="23"/>
      <c r="C101" s="23"/>
      <c r="D101" s="23"/>
      <c r="E101" s="214"/>
      <c r="F101" s="23"/>
      <c r="G101" s="6"/>
      <c r="H101" s="6">
        <v>31098</v>
      </c>
      <c r="I101" s="6"/>
      <c r="J101" s="59"/>
      <c r="K101" s="23"/>
      <c r="L101" s="6">
        <v>19500</v>
      </c>
      <c r="M101" s="6"/>
      <c r="N101" s="24"/>
      <c r="O101" s="56"/>
      <c r="P101" s="6">
        <v>0</v>
      </c>
      <c r="Q101" s="56"/>
      <c r="R101" s="59"/>
      <c r="S101" s="23"/>
      <c r="T101" s="6">
        <v>0</v>
      </c>
      <c r="U101" s="6"/>
      <c r="V101" s="6"/>
      <c r="W101" s="6"/>
      <c r="X101" s="24"/>
      <c r="Y101" s="159"/>
      <c r="Z101" s="6"/>
      <c r="AA101" s="24"/>
      <c r="AB101" s="159"/>
      <c r="AC101" s="6"/>
      <c r="AD101" s="6"/>
      <c r="AE101" s="23"/>
      <c r="AF101" s="6"/>
      <c r="AG101" s="6"/>
      <c r="AH101" s="101">
        <f t="shared" si="7"/>
        <v>0</v>
      </c>
    </row>
    <row r="102" spans="1:34" ht="38.25" x14ac:dyDescent="0.2">
      <c r="A102" s="16" t="s">
        <v>183</v>
      </c>
      <c r="B102" s="23"/>
      <c r="C102" s="23"/>
      <c r="D102" s="23"/>
      <c r="E102" s="214"/>
      <c r="F102" s="23"/>
      <c r="G102" s="6"/>
      <c r="H102" s="6">
        <v>5500</v>
      </c>
      <c r="I102" s="6"/>
      <c r="J102" s="59"/>
      <c r="K102" s="23"/>
      <c r="L102" s="6">
        <v>0</v>
      </c>
      <c r="M102" s="6"/>
      <c r="N102" s="24"/>
      <c r="O102" s="56"/>
      <c r="P102" s="6">
        <v>0</v>
      </c>
      <c r="Q102" s="56"/>
      <c r="R102" s="59"/>
      <c r="S102" s="23"/>
      <c r="T102" s="6">
        <v>0</v>
      </c>
      <c r="U102" s="6"/>
      <c r="V102" s="6"/>
      <c r="W102" s="6"/>
      <c r="X102" s="24"/>
      <c r="Y102" s="159"/>
      <c r="Z102" s="6"/>
      <c r="AA102" s="24"/>
      <c r="AB102" s="159"/>
      <c r="AC102" s="6"/>
      <c r="AD102" s="6"/>
      <c r="AE102" s="23"/>
      <c r="AF102" s="6"/>
      <c r="AG102" s="6"/>
      <c r="AH102" s="101">
        <f t="shared" si="7"/>
        <v>0</v>
      </c>
    </row>
    <row r="103" spans="1:34" ht="38.25" x14ac:dyDescent="0.2">
      <c r="A103" s="16" t="s">
        <v>184</v>
      </c>
      <c r="B103" s="23"/>
      <c r="C103" s="23"/>
      <c r="D103" s="23"/>
      <c r="E103" s="214"/>
      <c r="F103" s="23"/>
      <c r="G103" s="6"/>
      <c r="H103" s="6">
        <v>20571</v>
      </c>
      <c r="I103" s="6"/>
      <c r="J103" s="59"/>
      <c r="K103" s="23"/>
      <c r="L103" s="6">
        <v>113428</v>
      </c>
      <c r="M103" s="6"/>
      <c r="N103" s="24"/>
      <c r="O103" s="56"/>
      <c r="P103" s="6">
        <v>42000</v>
      </c>
      <c r="Q103" s="56"/>
      <c r="R103" s="59"/>
      <c r="S103" s="23"/>
      <c r="T103" s="6">
        <v>0</v>
      </c>
      <c r="U103" s="6"/>
      <c r="V103" s="6"/>
      <c r="W103" s="6"/>
      <c r="X103" s="24"/>
      <c r="Y103" s="159"/>
      <c r="Z103" s="6"/>
      <c r="AA103" s="24"/>
      <c r="AB103" s="159"/>
      <c r="AC103" s="6"/>
      <c r="AD103" s="6"/>
      <c r="AE103" s="23"/>
      <c r="AF103" s="6"/>
      <c r="AG103" s="6"/>
      <c r="AH103" s="101">
        <f t="shared" si="7"/>
        <v>0</v>
      </c>
    </row>
    <row r="104" spans="1:34" ht="25.5" x14ac:dyDescent="0.2">
      <c r="A104" s="16" t="s">
        <v>185</v>
      </c>
      <c r="B104" s="23"/>
      <c r="C104" s="23"/>
      <c r="D104" s="23"/>
      <c r="E104" s="214"/>
      <c r="F104" s="23"/>
      <c r="G104" s="6"/>
      <c r="H104" s="6">
        <v>51000</v>
      </c>
      <c r="I104" s="6"/>
      <c r="J104" s="59"/>
      <c r="K104" s="47"/>
      <c r="L104" s="6">
        <v>0</v>
      </c>
      <c r="M104" s="6"/>
      <c r="N104" s="24"/>
      <c r="O104" s="56"/>
      <c r="P104" s="6">
        <v>0</v>
      </c>
      <c r="Q104" s="56"/>
      <c r="R104" s="59"/>
      <c r="S104" s="23"/>
      <c r="T104" s="6">
        <v>0</v>
      </c>
      <c r="U104" s="6"/>
      <c r="V104" s="6"/>
      <c r="W104" s="6"/>
      <c r="X104" s="24"/>
      <c r="Y104" s="159"/>
      <c r="Z104" s="6"/>
      <c r="AA104" s="24"/>
      <c r="AB104" s="159"/>
      <c r="AC104" s="6"/>
      <c r="AD104" s="6"/>
      <c r="AE104" s="23"/>
      <c r="AF104" s="6"/>
      <c r="AG104" s="6"/>
      <c r="AH104" s="101">
        <f t="shared" si="7"/>
        <v>0</v>
      </c>
    </row>
    <row r="105" spans="1:34" ht="25.5" x14ac:dyDescent="0.2">
      <c r="A105" s="19" t="s">
        <v>186</v>
      </c>
      <c r="B105" s="23"/>
      <c r="C105" s="23"/>
      <c r="D105" s="23"/>
      <c r="E105" s="214"/>
      <c r="F105" s="23"/>
      <c r="G105" s="6"/>
      <c r="H105" s="6">
        <v>3300</v>
      </c>
      <c r="I105" s="6"/>
      <c r="J105" s="59"/>
      <c r="K105" s="47"/>
      <c r="L105" s="6">
        <v>0</v>
      </c>
      <c r="M105" s="6"/>
      <c r="N105" s="24"/>
      <c r="O105" s="56"/>
      <c r="P105" s="6">
        <v>0</v>
      </c>
      <c r="Q105" s="56"/>
      <c r="R105" s="59"/>
      <c r="S105" s="23"/>
      <c r="T105" s="6">
        <v>0</v>
      </c>
      <c r="U105" s="6"/>
      <c r="V105" s="6"/>
      <c r="W105" s="6"/>
      <c r="X105" s="24"/>
      <c r="Y105" s="159"/>
      <c r="Z105" s="6"/>
      <c r="AA105" s="24"/>
      <c r="AB105" s="159"/>
      <c r="AC105" s="6"/>
      <c r="AD105" s="6"/>
      <c r="AE105" s="23"/>
      <c r="AF105" s="6"/>
      <c r="AG105" s="6"/>
      <c r="AH105" s="101">
        <f t="shared" si="7"/>
        <v>0</v>
      </c>
    </row>
    <row r="106" spans="1:34" ht="51" x14ac:dyDescent="0.2">
      <c r="A106" s="16" t="s">
        <v>187</v>
      </c>
      <c r="B106" s="23"/>
      <c r="C106" s="23"/>
      <c r="D106" s="23"/>
      <c r="E106" s="214"/>
      <c r="F106" s="23"/>
      <c r="G106" s="6"/>
      <c r="H106" s="6">
        <v>10000</v>
      </c>
      <c r="I106" s="6"/>
      <c r="J106" s="59"/>
      <c r="K106" s="47"/>
      <c r="L106" s="6">
        <v>28000</v>
      </c>
      <c r="M106" s="6"/>
      <c r="N106" s="24"/>
      <c r="O106" s="56"/>
      <c r="P106" s="6">
        <v>0</v>
      </c>
      <c r="Q106" s="56"/>
      <c r="R106" s="59"/>
      <c r="S106" s="23"/>
      <c r="T106" s="6">
        <v>0</v>
      </c>
      <c r="U106" s="6"/>
      <c r="V106" s="6"/>
      <c r="W106" s="6"/>
      <c r="X106" s="24"/>
      <c r="Y106" s="159"/>
      <c r="Z106" s="6"/>
      <c r="AA106" s="24"/>
      <c r="AB106" s="159"/>
      <c r="AC106" s="6"/>
      <c r="AD106" s="6"/>
      <c r="AE106" s="23"/>
      <c r="AF106" s="6"/>
      <c r="AG106" s="6"/>
      <c r="AH106" s="101">
        <f t="shared" si="7"/>
        <v>0</v>
      </c>
    </row>
    <row r="107" spans="1:34" ht="25.5" x14ac:dyDescent="0.2">
      <c r="A107" s="16" t="s">
        <v>222</v>
      </c>
      <c r="B107" s="23"/>
      <c r="C107" s="23"/>
      <c r="D107" s="23"/>
      <c r="E107" s="214"/>
      <c r="F107" s="23"/>
      <c r="G107" s="6"/>
      <c r="H107" s="6">
        <v>1500</v>
      </c>
      <c r="I107" s="6"/>
      <c r="J107" s="59"/>
      <c r="K107" s="47"/>
      <c r="L107" s="6">
        <v>12850</v>
      </c>
      <c r="M107" s="6"/>
      <c r="N107" s="24"/>
      <c r="O107" s="56"/>
      <c r="P107" s="6"/>
      <c r="Q107" s="56"/>
      <c r="R107" s="59"/>
      <c r="S107" s="23"/>
      <c r="T107" s="6"/>
      <c r="U107" s="6"/>
      <c r="V107" s="6"/>
      <c r="W107" s="6"/>
      <c r="X107" s="24"/>
      <c r="Y107" s="159"/>
      <c r="Z107" s="6"/>
      <c r="AA107" s="24"/>
      <c r="AB107" s="159"/>
      <c r="AC107" s="6"/>
      <c r="AD107" s="6"/>
      <c r="AE107" s="23"/>
      <c r="AF107" s="6"/>
      <c r="AG107" s="6"/>
      <c r="AH107" s="101"/>
    </row>
    <row r="108" spans="1:34" ht="25.5" x14ac:dyDescent="0.2">
      <c r="A108" s="16" t="s">
        <v>188</v>
      </c>
      <c r="B108" s="23"/>
      <c r="C108" s="23"/>
      <c r="D108" s="23"/>
      <c r="E108" s="214"/>
      <c r="F108" s="23">
        <v>162175.28</v>
      </c>
      <c r="G108" s="6"/>
      <c r="H108" s="6">
        <v>27200</v>
      </c>
      <c r="I108" s="6"/>
      <c r="J108" s="59"/>
      <c r="K108" s="23"/>
      <c r="L108" s="6">
        <v>500</v>
      </c>
      <c r="M108" s="6"/>
      <c r="N108" s="24"/>
      <c r="O108" s="56"/>
      <c r="P108" s="6">
        <v>0</v>
      </c>
      <c r="Q108" s="56"/>
      <c r="R108" s="59"/>
      <c r="S108" s="23"/>
      <c r="T108" s="6">
        <v>0</v>
      </c>
      <c r="U108" s="6"/>
      <c r="V108" s="6"/>
      <c r="W108" s="6"/>
      <c r="X108" s="24"/>
      <c r="Y108" s="159"/>
      <c r="Z108" s="6"/>
      <c r="AA108" s="24"/>
      <c r="AB108" s="159"/>
      <c r="AC108" s="6"/>
      <c r="AD108" s="6"/>
      <c r="AE108" s="23"/>
      <c r="AF108" s="6"/>
      <c r="AG108" s="6"/>
      <c r="AH108" s="101">
        <f>C108+D108+I108+M108+Q108+U108-E108-J108-N108-R108-W108</f>
        <v>0</v>
      </c>
    </row>
    <row r="109" spans="1:34" ht="25.5" x14ac:dyDescent="0.2">
      <c r="A109" s="16" t="s">
        <v>189</v>
      </c>
      <c r="B109" s="23"/>
      <c r="C109" s="23"/>
      <c r="D109" s="23"/>
      <c r="E109" s="214"/>
      <c r="F109" s="23"/>
      <c r="G109" s="6"/>
      <c r="H109" s="6">
        <v>25700</v>
      </c>
      <c r="I109" s="6"/>
      <c r="J109" s="59"/>
      <c r="K109" s="47"/>
      <c r="L109" s="6">
        <v>0</v>
      </c>
      <c r="M109" s="6"/>
      <c r="N109" s="24"/>
      <c r="O109" s="56"/>
      <c r="P109" s="6">
        <v>0</v>
      </c>
      <c r="Q109" s="56"/>
      <c r="R109" s="59"/>
      <c r="S109" s="23"/>
      <c r="T109" s="6">
        <v>0</v>
      </c>
      <c r="U109" s="6"/>
      <c r="V109" s="6"/>
      <c r="W109" s="6"/>
      <c r="X109" s="24"/>
      <c r="Y109" s="159"/>
      <c r="Z109" s="6"/>
      <c r="AA109" s="24"/>
      <c r="AB109" s="159"/>
      <c r="AC109" s="6"/>
      <c r="AD109" s="6"/>
      <c r="AE109" s="23"/>
      <c r="AF109" s="6"/>
      <c r="AG109" s="6"/>
      <c r="AH109" s="101">
        <f>C109+D109+I109+M109+Q109+U109-E109-J109-N109-R109-W109</f>
        <v>0</v>
      </c>
    </row>
    <row r="110" spans="1:34" ht="25.5" x14ac:dyDescent="0.2">
      <c r="A110" s="16" t="s">
        <v>190</v>
      </c>
      <c r="B110" s="23"/>
      <c r="C110" s="23"/>
      <c r="D110" s="23"/>
      <c r="E110" s="214"/>
      <c r="F110" s="23"/>
      <c r="G110" s="6"/>
      <c r="H110" s="6">
        <v>40000</v>
      </c>
      <c r="I110" s="6"/>
      <c r="J110" s="59"/>
      <c r="K110" s="23"/>
      <c r="L110" s="6">
        <v>0</v>
      </c>
      <c r="M110" s="6"/>
      <c r="N110" s="24"/>
      <c r="O110" s="56"/>
      <c r="P110" s="6">
        <v>0</v>
      </c>
      <c r="Q110" s="56"/>
      <c r="R110" s="59"/>
      <c r="S110" s="23"/>
      <c r="T110" s="6">
        <v>0</v>
      </c>
      <c r="U110" s="6"/>
      <c r="V110" s="6"/>
      <c r="W110" s="6"/>
      <c r="X110" s="24"/>
      <c r="Y110" s="159"/>
      <c r="Z110" s="6"/>
      <c r="AA110" s="24"/>
      <c r="AB110" s="159"/>
      <c r="AC110" s="6"/>
      <c r="AD110" s="6"/>
      <c r="AE110" s="23"/>
      <c r="AF110" s="6"/>
      <c r="AG110" s="6"/>
      <c r="AH110" s="101">
        <f>C110+D110+I110+M110+Q110+U110-E110-J110-N110-R110-W110</f>
        <v>0</v>
      </c>
    </row>
    <row r="111" spans="1:34" ht="38.25" x14ac:dyDescent="0.2">
      <c r="A111" s="16" t="s">
        <v>191</v>
      </c>
      <c r="B111" s="23"/>
      <c r="C111" s="23"/>
      <c r="D111" s="23"/>
      <c r="E111" s="214"/>
      <c r="F111" s="23"/>
      <c r="G111" s="6"/>
      <c r="H111" s="6">
        <v>500</v>
      </c>
      <c r="I111" s="6"/>
      <c r="J111" s="59"/>
      <c r="K111" s="23"/>
      <c r="L111" s="6">
        <v>50639</v>
      </c>
      <c r="M111" s="6"/>
      <c r="N111" s="24"/>
      <c r="O111" s="56"/>
      <c r="P111" s="6">
        <v>0</v>
      </c>
      <c r="Q111" s="56"/>
      <c r="R111" s="59"/>
      <c r="S111" s="23"/>
      <c r="T111" s="6">
        <v>0</v>
      </c>
      <c r="U111" s="6"/>
      <c r="V111" s="6"/>
      <c r="W111" s="6"/>
      <c r="X111" s="24"/>
      <c r="Y111" s="159"/>
      <c r="Z111" s="6"/>
      <c r="AA111" s="24"/>
      <c r="AB111" s="159"/>
      <c r="AC111" s="6"/>
      <c r="AD111" s="6"/>
      <c r="AE111" s="23"/>
      <c r="AF111" s="6"/>
      <c r="AG111" s="6"/>
      <c r="AH111" s="101">
        <f>C111+D111+I111+M111+Q111+U111-E111-J111-N111-R111-W111</f>
        <v>0</v>
      </c>
    </row>
    <row r="112" spans="1:34" ht="38.25" x14ac:dyDescent="0.2">
      <c r="A112" s="16" t="s">
        <v>192</v>
      </c>
      <c r="B112" s="23"/>
      <c r="C112" s="23"/>
      <c r="D112" s="23"/>
      <c r="E112" s="214"/>
      <c r="F112" s="23"/>
      <c r="G112" s="6"/>
      <c r="H112" s="6">
        <v>6200</v>
      </c>
      <c r="I112" s="6"/>
      <c r="J112" s="59"/>
      <c r="K112" s="23"/>
      <c r="L112" s="6">
        <v>0</v>
      </c>
      <c r="M112" s="6"/>
      <c r="N112" s="24"/>
      <c r="O112" s="56"/>
      <c r="P112" s="6">
        <v>0</v>
      </c>
      <c r="Q112" s="56"/>
      <c r="R112" s="59"/>
      <c r="S112" s="23"/>
      <c r="T112" s="6">
        <v>0</v>
      </c>
      <c r="U112" s="6"/>
      <c r="V112" s="6"/>
      <c r="W112" s="6"/>
      <c r="X112" s="24"/>
      <c r="Y112" s="159"/>
      <c r="Z112" s="6"/>
      <c r="AA112" s="24"/>
      <c r="AB112" s="159"/>
      <c r="AC112" s="6"/>
      <c r="AD112" s="6"/>
      <c r="AE112" s="23"/>
      <c r="AF112" s="6"/>
      <c r="AG112" s="6"/>
      <c r="AH112" s="101">
        <f>C112+D112+I112+M112+Q112+U112-E112-J112-N112-R112-W112</f>
        <v>0</v>
      </c>
    </row>
    <row r="113" spans="1:34" ht="38.25" x14ac:dyDescent="0.2">
      <c r="A113" s="16" t="s">
        <v>226</v>
      </c>
      <c r="B113" s="23"/>
      <c r="C113" s="23"/>
      <c r="D113" s="23"/>
      <c r="E113" s="214"/>
      <c r="F113" s="23"/>
      <c r="G113" s="6"/>
      <c r="H113" s="6"/>
      <c r="I113" s="6"/>
      <c r="J113" s="59"/>
      <c r="K113" s="23"/>
      <c r="L113" s="6">
        <v>11420</v>
      </c>
      <c r="M113" s="6"/>
      <c r="N113" s="24"/>
      <c r="O113" s="56"/>
      <c r="P113" s="6"/>
      <c r="Q113" s="56"/>
      <c r="R113" s="59"/>
      <c r="S113" s="23"/>
      <c r="T113" s="6"/>
      <c r="U113" s="6"/>
      <c r="V113" s="6"/>
      <c r="W113" s="6"/>
      <c r="X113" s="24"/>
      <c r="Y113" s="159"/>
      <c r="Z113" s="6"/>
      <c r="AA113" s="24"/>
      <c r="AB113" s="159"/>
      <c r="AC113" s="6"/>
      <c r="AD113" s="6"/>
      <c r="AE113" s="23"/>
      <c r="AF113" s="6"/>
      <c r="AG113" s="6"/>
      <c r="AH113" s="101"/>
    </row>
    <row r="114" spans="1:34" ht="25.5" x14ac:dyDescent="0.2">
      <c r="A114" s="16" t="s">
        <v>223</v>
      </c>
      <c r="B114" s="23"/>
      <c r="C114" s="23"/>
      <c r="D114" s="23"/>
      <c r="E114" s="214"/>
      <c r="F114" s="23"/>
      <c r="G114" s="6"/>
      <c r="H114" s="6">
        <v>9120</v>
      </c>
      <c r="I114" s="6"/>
      <c r="J114" s="59"/>
      <c r="K114" s="23"/>
      <c r="L114" s="6"/>
      <c r="M114" s="6"/>
      <c r="N114" s="24"/>
      <c r="O114" s="56"/>
      <c r="P114" s="6"/>
      <c r="Q114" s="56"/>
      <c r="R114" s="59"/>
      <c r="S114" s="23"/>
      <c r="T114" s="6"/>
      <c r="U114" s="6"/>
      <c r="V114" s="6"/>
      <c r="W114" s="6"/>
      <c r="X114" s="24"/>
      <c r="Y114" s="159"/>
      <c r="Z114" s="6"/>
      <c r="AA114" s="24"/>
      <c r="AB114" s="159"/>
      <c r="AC114" s="6"/>
      <c r="AD114" s="6"/>
      <c r="AE114" s="23"/>
      <c r="AF114" s="6"/>
      <c r="AG114" s="6"/>
      <c r="AH114" s="101"/>
    </row>
    <row r="115" spans="1:34" ht="25.5" x14ac:dyDescent="0.2">
      <c r="A115" s="16" t="s">
        <v>224</v>
      </c>
      <c r="B115" s="23"/>
      <c r="C115" s="23"/>
      <c r="D115" s="23"/>
      <c r="E115" s="214"/>
      <c r="F115" s="23"/>
      <c r="G115" s="6"/>
      <c r="H115" s="6">
        <v>1500</v>
      </c>
      <c r="I115" s="6"/>
      <c r="J115" s="59"/>
      <c r="K115" s="23"/>
      <c r="L115" s="6">
        <v>20000</v>
      </c>
      <c r="M115" s="6"/>
      <c r="N115" s="24"/>
      <c r="O115" s="56"/>
      <c r="P115" s="6"/>
      <c r="Q115" s="56"/>
      <c r="R115" s="59"/>
      <c r="S115" s="23"/>
      <c r="T115" s="6"/>
      <c r="U115" s="6"/>
      <c r="V115" s="6"/>
      <c r="W115" s="6"/>
      <c r="X115" s="24"/>
      <c r="Y115" s="159"/>
      <c r="Z115" s="6"/>
      <c r="AA115" s="24"/>
      <c r="AB115" s="159"/>
      <c r="AC115" s="6"/>
      <c r="AD115" s="6"/>
      <c r="AE115" s="23"/>
      <c r="AF115" s="6"/>
      <c r="AG115" s="6"/>
      <c r="AH115" s="101"/>
    </row>
    <row r="116" spans="1:34" ht="25.5" x14ac:dyDescent="0.2">
      <c r="A116" s="16" t="s">
        <v>235</v>
      </c>
      <c r="B116" s="23"/>
      <c r="C116" s="23"/>
      <c r="D116" s="23"/>
      <c r="E116" s="214"/>
      <c r="F116" s="23"/>
      <c r="G116" s="6"/>
      <c r="H116" s="6"/>
      <c r="I116" s="6"/>
      <c r="J116" s="59"/>
      <c r="K116" s="23"/>
      <c r="L116" s="6">
        <v>60500</v>
      </c>
      <c r="M116" s="6"/>
      <c r="N116" s="24"/>
      <c r="O116" s="56"/>
      <c r="P116" s="6">
        <v>0</v>
      </c>
      <c r="Q116" s="56"/>
      <c r="R116" s="59"/>
      <c r="S116" s="23"/>
      <c r="T116" s="6"/>
      <c r="U116" s="6"/>
      <c r="V116" s="6"/>
      <c r="W116" s="6"/>
      <c r="X116" s="24"/>
      <c r="Y116" s="159"/>
      <c r="Z116" s="6"/>
      <c r="AA116" s="24"/>
      <c r="AB116" s="159"/>
      <c r="AC116" s="6"/>
      <c r="AD116" s="6"/>
      <c r="AE116" s="23"/>
      <c r="AF116" s="6"/>
      <c r="AG116" s="6"/>
      <c r="AH116" s="101"/>
    </row>
    <row r="117" spans="1:34" ht="25.5" x14ac:dyDescent="0.2">
      <c r="A117" s="16" t="s">
        <v>225</v>
      </c>
      <c r="B117" s="23"/>
      <c r="C117" s="23"/>
      <c r="D117" s="23"/>
      <c r="E117" s="214"/>
      <c r="F117" s="23"/>
      <c r="G117" s="6"/>
      <c r="H117" s="6">
        <v>23000</v>
      </c>
      <c r="I117" s="6"/>
      <c r="J117" s="59"/>
      <c r="K117" s="23"/>
      <c r="L117" s="6"/>
      <c r="M117" s="6"/>
      <c r="N117" s="24"/>
      <c r="O117" s="56"/>
      <c r="P117" s="6"/>
      <c r="Q117" s="56"/>
      <c r="R117" s="59"/>
      <c r="S117" s="23"/>
      <c r="T117" s="6"/>
      <c r="U117" s="6"/>
      <c r="V117" s="6"/>
      <c r="W117" s="6"/>
      <c r="X117" s="24"/>
      <c r="Y117" s="159"/>
      <c r="Z117" s="6"/>
      <c r="AA117" s="24"/>
      <c r="AB117" s="159"/>
      <c r="AC117" s="6"/>
      <c r="AD117" s="6"/>
      <c r="AE117" s="23"/>
      <c r="AF117" s="6"/>
      <c r="AG117" s="6"/>
      <c r="AH117" s="101"/>
    </row>
    <row r="118" spans="1:34" ht="25.5" x14ac:dyDescent="0.2">
      <c r="A118" s="16" t="s">
        <v>193</v>
      </c>
      <c r="B118" s="23"/>
      <c r="C118" s="23"/>
      <c r="D118" s="23"/>
      <c r="E118" s="214"/>
      <c r="F118" s="23"/>
      <c r="G118" s="6"/>
      <c r="H118" s="6">
        <v>11064.91</v>
      </c>
      <c r="I118" s="6"/>
      <c r="J118" s="59"/>
      <c r="K118" s="47"/>
      <c r="L118" s="6">
        <v>0</v>
      </c>
      <c r="M118" s="6"/>
      <c r="N118" s="24"/>
      <c r="O118" s="56"/>
      <c r="P118" s="6">
        <v>100000</v>
      </c>
      <c r="Q118" s="56"/>
      <c r="R118" s="59"/>
      <c r="S118" s="23"/>
      <c r="T118" s="6">
        <v>100000</v>
      </c>
      <c r="U118" s="6"/>
      <c r="V118" s="6"/>
      <c r="W118" s="6"/>
      <c r="X118" s="24"/>
      <c r="Y118" s="159"/>
      <c r="Z118" s="6"/>
      <c r="AA118" s="24"/>
      <c r="AB118" s="159"/>
      <c r="AC118" s="6"/>
      <c r="AD118" s="6"/>
      <c r="AE118" s="23"/>
      <c r="AF118" s="6"/>
      <c r="AG118" s="6"/>
      <c r="AH118" s="101">
        <f t="shared" ref="AH118:AH181" si="8">C118+D118+I118+M118+Q118+U118-E118-J118-N118-R118-W118</f>
        <v>0</v>
      </c>
    </row>
    <row r="119" spans="1:34" s="8" customFormat="1" x14ac:dyDescent="0.2">
      <c r="A119" s="17" t="s">
        <v>28</v>
      </c>
      <c r="B119" s="25">
        <f t="shared" ref="B119:AG119" si="9">SUM(B69:B118)</f>
        <v>0</v>
      </c>
      <c r="C119" s="25">
        <f t="shared" si="9"/>
        <v>26405.047129999999</v>
      </c>
      <c r="D119" s="25">
        <f t="shared" si="9"/>
        <v>11784.489999999998</v>
      </c>
      <c r="E119" s="142">
        <f t="shared" si="9"/>
        <v>26992.61</v>
      </c>
      <c r="F119" s="199">
        <f t="shared" si="9"/>
        <v>162175.28</v>
      </c>
      <c r="G119" s="191">
        <f t="shared" si="9"/>
        <v>359.74</v>
      </c>
      <c r="H119" s="191">
        <f t="shared" si="9"/>
        <v>314343.90999999997</v>
      </c>
      <c r="I119" s="191">
        <f t="shared" si="9"/>
        <v>37945.479999999996</v>
      </c>
      <c r="J119" s="218">
        <f t="shared" si="9"/>
        <v>14760.710000000001</v>
      </c>
      <c r="K119" s="199">
        <f t="shared" si="9"/>
        <v>0</v>
      </c>
      <c r="L119" s="191">
        <f t="shared" si="9"/>
        <v>417335</v>
      </c>
      <c r="M119" s="191">
        <f t="shared" si="9"/>
        <v>149195</v>
      </c>
      <c r="N119" s="200">
        <f t="shared" si="9"/>
        <v>17673</v>
      </c>
      <c r="O119" s="200">
        <f t="shared" si="9"/>
        <v>0</v>
      </c>
      <c r="P119" s="191">
        <f t="shared" si="9"/>
        <v>193000</v>
      </c>
      <c r="Q119" s="15">
        <f t="shared" si="9"/>
        <v>124905</v>
      </c>
      <c r="R119" s="60">
        <f t="shared" si="9"/>
        <v>198625</v>
      </c>
      <c r="S119" s="199"/>
      <c r="T119" s="191">
        <f t="shared" si="9"/>
        <v>127610</v>
      </c>
      <c r="U119" s="191">
        <f t="shared" si="9"/>
        <v>0</v>
      </c>
      <c r="V119" s="191">
        <f t="shared" si="9"/>
        <v>159040</v>
      </c>
      <c r="W119" s="191">
        <f t="shared" si="9"/>
        <v>91975</v>
      </c>
      <c r="X119" s="200">
        <f t="shared" si="9"/>
        <v>0</v>
      </c>
      <c r="Y119" s="205"/>
      <c r="Z119" s="191">
        <f t="shared" si="9"/>
        <v>347655</v>
      </c>
      <c r="AA119" s="200">
        <f t="shared" si="9"/>
        <v>159040</v>
      </c>
      <c r="AB119" s="15">
        <f t="shared" si="9"/>
        <v>0</v>
      </c>
      <c r="AC119" s="15">
        <f t="shared" si="9"/>
        <v>445500</v>
      </c>
      <c r="AD119" s="15">
        <f t="shared" si="9"/>
        <v>347655</v>
      </c>
      <c r="AE119" s="15">
        <f t="shared" si="9"/>
        <v>0</v>
      </c>
      <c r="AF119" s="15">
        <f t="shared" si="9"/>
        <v>0</v>
      </c>
      <c r="AG119" s="15">
        <f t="shared" si="9"/>
        <v>445500</v>
      </c>
      <c r="AH119" s="101">
        <f t="shared" si="8"/>
        <v>208.69712999998592</v>
      </c>
    </row>
    <row r="120" spans="1:34" s="37" customFormat="1" x14ac:dyDescent="0.2">
      <c r="A120" s="125" t="s">
        <v>91</v>
      </c>
      <c r="B120" s="43"/>
      <c r="C120" s="43"/>
      <c r="D120" s="43"/>
      <c r="E120" s="213"/>
      <c r="F120" s="43"/>
      <c r="G120" s="44"/>
      <c r="H120" s="45"/>
      <c r="I120" s="45"/>
      <c r="J120" s="58"/>
      <c r="K120" s="43"/>
      <c r="L120" s="45"/>
      <c r="M120" s="45"/>
      <c r="N120" s="46"/>
      <c r="O120" s="55"/>
      <c r="P120" s="45"/>
      <c r="Q120" s="55">
        <v>35000</v>
      </c>
      <c r="R120" s="58">
        <v>0</v>
      </c>
      <c r="S120" s="43"/>
      <c r="T120" s="6"/>
      <c r="U120" s="6"/>
      <c r="V120" s="6">
        <v>80500</v>
      </c>
      <c r="W120" s="6">
        <v>35000</v>
      </c>
      <c r="X120" s="24"/>
      <c r="Y120" s="159"/>
      <c r="Z120" s="6"/>
      <c r="AA120" s="24">
        <v>80500</v>
      </c>
      <c r="AB120" s="159"/>
      <c r="AC120" s="6"/>
      <c r="AD120" s="6"/>
      <c r="AE120" s="23"/>
      <c r="AF120" s="6"/>
      <c r="AG120" s="6"/>
      <c r="AH120" s="101">
        <f t="shared" si="8"/>
        <v>0</v>
      </c>
    </row>
    <row r="121" spans="1:34" s="8" customFormat="1" x14ac:dyDescent="0.2">
      <c r="A121" s="157" t="s">
        <v>212</v>
      </c>
      <c r="B121" s="43"/>
      <c r="C121" s="43"/>
      <c r="D121" s="43"/>
      <c r="E121" s="213"/>
      <c r="F121" s="43"/>
      <c r="G121" s="45"/>
      <c r="H121" s="45"/>
      <c r="I121" s="45"/>
      <c r="J121" s="58"/>
      <c r="K121" s="43"/>
      <c r="L121" s="45"/>
      <c r="M121" s="45"/>
      <c r="N121" s="46"/>
      <c r="O121" s="55"/>
      <c r="P121" s="45"/>
      <c r="Q121" s="55">
        <v>29500</v>
      </c>
      <c r="R121" s="58"/>
      <c r="S121" s="43"/>
      <c r="T121" s="45"/>
      <c r="U121" s="45"/>
      <c r="V121" s="45">
        <v>140000</v>
      </c>
      <c r="W121" s="45">
        <v>29500</v>
      </c>
      <c r="X121" s="46">
        <v>64550</v>
      </c>
      <c r="Y121" s="146"/>
      <c r="Z121" s="45">
        <v>242000</v>
      </c>
      <c r="AA121" s="46">
        <v>180750</v>
      </c>
      <c r="AB121" s="146"/>
      <c r="AC121" s="45">
        <v>81000</v>
      </c>
      <c r="AD121" s="45">
        <v>164750</v>
      </c>
      <c r="AE121" s="43"/>
      <c r="AF121" s="45"/>
      <c r="AG121" s="45">
        <v>52950</v>
      </c>
      <c r="AH121" s="101">
        <f t="shared" si="8"/>
        <v>0</v>
      </c>
    </row>
    <row r="122" spans="1:34" s="37" customFormat="1" ht="25.5" x14ac:dyDescent="0.2">
      <c r="A122" s="132" t="s">
        <v>144</v>
      </c>
      <c r="B122" s="43"/>
      <c r="C122" s="43"/>
      <c r="D122" s="43">
        <v>19688.03</v>
      </c>
      <c r="E122" s="213"/>
      <c r="F122" s="43"/>
      <c r="G122" s="45"/>
      <c r="H122" s="45"/>
      <c r="I122" s="45"/>
      <c r="J122" s="58">
        <v>19688.04</v>
      </c>
      <c r="K122" s="43"/>
      <c r="L122" s="45"/>
      <c r="M122" s="45"/>
      <c r="N122" s="46"/>
      <c r="O122" s="55"/>
      <c r="P122" s="45"/>
      <c r="Q122" s="55"/>
      <c r="R122" s="58"/>
      <c r="S122" s="43"/>
      <c r="T122" s="6"/>
      <c r="U122" s="6"/>
      <c r="V122" s="6"/>
      <c r="W122" s="6"/>
      <c r="X122" s="24"/>
      <c r="Y122" s="159"/>
      <c r="Z122" s="6"/>
      <c r="AA122" s="24"/>
      <c r="AB122" s="159"/>
      <c r="AC122" s="6"/>
      <c r="AD122" s="6"/>
      <c r="AE122" s="23"/>
      <c r="AF122" s="6"/>
      <c r="AG122" s="6"/>
      <c r="AH122" s="101">
        <f t="shared" si="8"/>
        <v>-1.0000000002037268E-2</v>
      </c>
    </row>
    <row r="123" spans="1:34" s="8" customFormat="1" x14ac:dyDescent="0.2">
      <c r="A123" s="178" t="s">
        <v>228</v>
      </c>
      <c r="B123" s="43"/>
      <c r="C123" s="43"/>
      <c r="D123" s="43"/>
      <c r="E123" s="213"/>
      <c r="F123" s="43"/>
      <c r="G123" s="45"/>
      <c r="H123" s="45"/>
      <c r="I123" s="45">
        <v>0</v>
      </c>
      <c r="J123" s="58"/>
      <c r="K123" s="43"/>
      <c r="L123" s="45"/>
      <c r="M123" s="45">
        <v>35606</v>
      </c>
      <c r="N123" s="46">
        <v>0</v>
      </c>
      <c r="O123" s="55"/>
      <c r="P123" s="45"/>
      <c r="Q123" s="55">
        <v>8820</v>
      </c>
      <c r="R123" s="58">
        <v>44426</v>
      </c>
      <c r="S123" s="43"/>
      <c r="T123" s="45"/>
      <c r="U123" s="45"/>
      <c r="V123" s="45"/>
      <c r="W123" s="45"/>
      <c r="X123" s="46"/>
      <c r="Y123" s="146"/>
      <c r="Z123" s="45"/>
      <c r="AA123" s="46"/>
      <c r="AB123" s="146"/>
      <c r="AC123" s="45"/>
      <c r="AD123" s="45"/>
      <c r="AE123" s="43"/>
      <c r="AF123" s="45"/>
      <c r="AG123" s="45"/>
      <c r="AH123" s="101">
        <f t="shared" si="8"/>
        <v>0</v>
      </c>
    </row>
    <row r="124" spans="1:34" s="8" customFormat="1" x14ac:dyDescent="0.2">
      <c r="A124" s="178" t="s">
        <v>229</v>
      </c>
      <c r="B124" s="43"/>
      <c r="C124" s="43"/>
      <c r="D124" s="43"/>
      <c r="E124" s="213"/>
      <c r="F124" s="43"/>
      <c r="G124" s="45"/>
      <c r="H124" s="45"/>
      <c r="I124" s="45">
        <v>0</v>
      </c>
      <c r="J124" s="58"/>
      <c r="K124" s="43"/>
      <c r="L124" s="45"/>
      <c r="M124" s="45">
        <v>17448</v>
      </c>
      <c r="N124" s="46">
        <v>17448</v>
      </c>
      <c r="O124" s="55"/>
      <c r="P124" s="45"/>
      <c r="Q124" s="55"/>
      <c r="R124" s="58"/>
      <c r="S124" s="43"/>
      <c r="T124" s="45"/>
      <c r="U124" s="45"/>
      <c r="V124" s="45"/>
      <c r="W124" s="45"/>
      <c r="X124" s="46"/>
      <c r="Y124" s="146"/>
      <c r="Z124" s="45"/>
      <c r="AA124" s="46"/>
      <c r="AB124" s="146"/>
      <c r="AC124" s="45"/>
      <c r="AD124" s="45"/>
      <c r="AE124" s="43"/>
      <c r="AF124" s="45"/>
      <c r="AG124" s="45"/>
      <c r="AH124" s="101">
        <f t="shared" si="8"/>
        <v>0</v>
      </c>
    </row>
    <row r="125" spans="1:34" s="8" customFormat="1" x14ac:dyDescent="0.2">
      <c r="A125" s="178" t="s">
        <v>230</v>
      </c>
      <c r="B125" s="43"/>
      <c r="C125" s="43"/>
      <c r="D125" s="43"/>
      <c r="E125" s="213"/>
      <c r="F125" s="43"/>
      <c r="G125" s="45"/>
      <c r="H125" s="45"/>
      <c r="I125" s="45">
        <v>0</v>
      </c>
      <c r="J125" s="58"/>
      <c r="K125" s="43"/>
      <c r="L125" s="45"/>
      <c r="M125" s="45">
        <v>0</v>
      </c>
      <c r="N125" s="46"/>
      <c r="O125" s="55"/>
      <c r="P125" s="45"/>
      <c r="Q125" s="55">
        <v>23000</v>
      </c>
      <c r="R125" s="58">
        <v>23000</v>
      </c>
      <c r="S125" s="43"/>
      <c r="T125" s="45"/>
      <c r="U125" s="45"/>
      <c r="V125" s="45"/>
      <c r="W125" s="45"/>
      <c r="X125" s="46"/>
      <c r="Y125" s="146"/>
      <c r="Z125" s="45"/>
      <c r="AA125" s="46"/>
      <c r="AB125" s="146"/>
      <c r="AC125" s="45"/>
      <c r="AD125" s="45"/>
      <c r="AE125" s="43"/>
      <c r="AF125" s="45"/>
      <c r="AG125" s="45"/>
      <c r="AH125" s="101">
        <f t="shared" si="8"/>
        <v>0</v>
      </c>
    </row>
    <row r="126" spans="1:34" x14ac:dyDescent="0.2">
      <c r="A126" s="20" t="s">
        <v>19</v>
      </c>
      <c r="B126" s="23"/>
      <c r="C126" s="23"/>
      <c r="D126" s="23"/>
      <c r="E126" s="214"/>
      <c r="F126" s="23"/>
      <c r="G126" s="6"/>
      <c r="H126" s="7">
        <v>41000</v>
      </c>
      <c r="I126" s="7"/>
      <c r="J126" s="62"/>
      <c r="K126" s="23"/>
      <c r="L126" s="6"/>
      <c r="M126" s="6"/>
      <c r="N126" s="24"/>
      <c r="O126" s="56"/>
      <c r="P126" s="6"/>
      <c r="Q126" s="56"/>
      <c r="R126" s="59"/>
      <c r="S126" s="23"/>
      <c r="T126" s="6"/>
      <c r="U126" s="6"/>
      <c r="V126" s="6"/>
      <c r="W126" s="6"/>
      <c r="X126" s="24"/>
      <c r="Y126" s="159"/>
      <c r="Z126" s="6"/>
      <c r="AA126" s="24"/>
      <c r="AB126" s="159"/>
      <c r="AC126" s="6"/>
      <c r="AD126" s="6"/>
      <c r="AE126" s="23"/>
      <c r="AF126" s="6"/>
      <c r="AG126" s="6"/>
      <c r="AH126" s="101">
        <f t="shared" si="8"/>
        <v>0</v>
      </c>
    </row>
    <row r="127" spans="1:34" x14ac:dyDescent="0.2">
      <c r="A127" s="20" t="s">
        <v>20</v>
      </c>
      <c r="B127" s="23"/>
      <c r="C127" s="23"/>
      <c r="D127" s="23"/>
      <c r="E127" s="214"/>
      <c r="F127" s="23"/>
      <c r="G127" s="6"/>
      <c r="H127" s="6">
        <v>15000</v>
      </c>
      <c r="I127" s="6"/>
      <c r="J127" s="59"/>
      <c r="K127" s="47"/>
      <c r="L127" s="6">
        <v>119416</v>
      </c>
      <c r="M127" s="6"/>
      <c r="N127" s="24"/>
      <c r="O127" s="56"/>
      <c r="P127" s="6">
        <v>50000</v>
      </c>
      <c r="Q127" s="56"/>
      <c r="R127" s="59"/>
      <c r="S127" s="23"/>
      <c r="T127" s="6"/>
      <c r="U127" s="6"/>
      <c r="V127" s="6"/>
      <c r="W127" s="6"/>
      <c r="X127" s="24"/>
      <c r="Y127" s="159"/>
      <c r="Z127" s="6"/>
      <c r="AA127" s="24"/>
      <c r="AB127" s="159"/>
      <c r="AC127" s="6"/>
      <c r="AD127" s="6"/>
      <c r="AE127" s="23"/>
      <c r="AF127" s="6"/>
      <c r="AG127" s="6"/>
      <c r="AH127" s="101">
        <f t="shared" si="8"/>
        <v>0</v>
      </c>
    </row>
    <row r="128" spans="1:34" ht="25.5" x14ac:dyDescent="0.2">
      <c r="A128" s="18" t="s">
        <v>236</v>
      </c>
      <c r="B128" s="31"/>
      <c r="C128" s="31"/>
      <c r="D128" s="31"/>
      <c r="E128" s="216"/>
      <c r="F128" s="31">
        <v>0</v>
      </c>
      <c r="G128" s="6"/>
      <c r="H128" s="6">
        <v>21700</v>
      </c>
      <c r="I128" s="6"/>
      <c r="J128" s="59"/>
      <c r="K128" s="47"/>
      <c r="L128" s="6"/>
      <c r="M128" s="6"/>
      <c r="N128" s="24"/>
      <c r="O128" s="56"/>
      <c r="P128" s="6"/>
      <c r="Q128" s="56"/>
      <c r="R128" s="59"/>
      <c r="S128" s="23"/>
      <c r="T128" s="6"/>
      <c r="U128" s="6"/>
      <c r="V128" s="6"/>
      <c r="W128" s="6"/>
      <c r="X128" s="24"/>
      <c r="Y128" s="159"/>
      <c r="Z128" s="6"/>
      <c r="AA128" s="24"/>
      <c r="AB128" s="159"/>
      <c r="AC128" s="6"/>
      <c r="AD128" s="6"/>
      <c r="AE128" s="23"/>
      <c r="AF128" s="6"/>
      <c r="AG128" s="6"/>
      <c r="AH128" s="101"/>
    </row>
    <row r="129" spans="1:34" x14ac:dyDescent="0.2">
      <c r="A129" s="20" t="s">
        <v>21</v>
      </c>
      <c r="B129" s="23"/>
      <c r="C129" s="23"/>
      <c r="D129" s="23"/>
      <c r="E129" s="214"/>
      <c r="F129" s="23"/>
      <c r="G129" s="6"/>
      <c r="H129" s="6">
        <v>2000</v>
      </c>
      <c r="I129" s="6"/>
      <c r="J129" s="59"/>
      <c r="K129" s="47"/>
      <c r="L129" s="6">
        <v>22000</v>
      </c>
      <c r="M129" s="6"/>
      <c r="N129" s="24"/>
      <c r="O129" s="56"/>
      <c r="P129" s="6"/>
      <c r="Q129" s="56"/>
      <c r="R129" s="59"/>
      <c r="S129" s="23"/>
      <c r="T129" s="6"/>
      <c r="U129" s="6"/>
      <c r="V129" s="6"/>
      <c r="W129" s="6"/>
      <c r="X129" s="24"/>
      <c r="Y129" s="159"/>
      <c r="Z129" s="6"/>
      <c r="AA129" s="24"/>
      <c r="AB129" s="159"/>
      <c r="AC129" s="6"/>
      <c r="AD129" s="6"/>
      <c r="AE129" s="23"/>
      <c r="AF129" s="6"/>
      <c r="AG129" s="6"/>
      <c r="AH129" s="101">
        <f t="shared" si="8"/>
        <v>0</v>
      </c>
    </row>
    <row r="130" spans="1:34" x14ac:dyDescent="0.2">
      <c r="A130" s="20" t="s">
        <v>22</v>
      </c>
      <c r="B130" s="23"/>
      <c r="C130" s="23"/>
      <c r="D130" s="23"/>
      <c r="E130" s="214"/>
      <c r="F130" s="23"/>
      <c r="G130" s="6"/>
      <c r="H130" s="6">
        <f>1000+2500</f>
        <v>3500</v>
      </c>
      <c r="I130" s="6"/>
      <c r="J130" s="59"/>
      <c r="K130" s="23"/>
      <c r="L130" s="6">
        <f>32500-2500</f>
        <v>30000</v>
      </c>
      <c r="M130" s="6"/>
      <c r="N130" s="24"/>
      <c r="O130" s="56"/>
      <c r="P130" s="6"/>
      <c r="Q130" s="56"/>
      <c r="R130" s="59"/>
      <c r="S130" s="23"/>
      <c r="T130" s="6"/>
      <c r="U130" s="6"/>
      <c r="V130" s="6"/>
      <c r="W130" s="6"/>
      <c r="X130" s="24"/>
      <c r="Y130" s="159"/>
      <c r="Z130" s="6"/>
      <c r="AA130" s="24"/>
      <c r="AB130" s="159"/>
      <c r="AC130" s="6"/>
      <c r="AD130" s="6"/>
      <c r="AE130" s="23"/>
      <c r="AF130" s="6"/>
      <c r="AG130" s="6"/>
      <c r="AH130" s="101">
        <f t="shared" si="8"/>
        <v>0</v>
      </c>
    </row>
    <row r="131" spans="1:34" s="8" customFormat="1" x14ac:dyDescent="0.2">
      <c r="A131" s="17" t="s">
        <v>29</v>
      </c>
      <c r="B131" s="25">
        <f t="shared" ref="B131:N131" si="10">SUM(B120:B130)</f>
        <v>0</v>
      </c>
      <c r="C131" s="25">
        <f t="shared" si="10"/>
        <v>0</v>
      </c>
      <c r="D131" s="25">
        <f t="shared" si="10"/>
        <v>19688.03</v>
      </c>
      <c r="E131" s="142">
        <f t="shared" si="10"/>
        <v>0</v>
      </c>
      <c r="F131" s="199">
        <f t="shared" si="10"/>
        <v>0</v>
      </c>
      <c r="G131" s="191">
        <f t="shared" si="10"/>
        <v>0</v>
      </c>
      <c r="H131" s="191">
        <f t="shared" si="10"/>
        <v>83200</v>
      </c>
      <c r="I131" s="191">
        <f t="shared" si="10"/>
        <v>0</v>
      </c>
      <c r="J131" s="218">
        <f t="shared" si="10"/>
        <v>19688.04</v>
      </c>
      <c r="K131" s="199">
        <f t="shared" si="10"/>
        <v>0</v>
      </c>
      <c r="L131" s="191">
        <f t="shared" si="10"/>
        <v>171416</v>
      </c>
      <c r="M131" s="191">
        <f t="shared" si="10"/>
        <v>53054</v>
      </c>
      <c r="N131" s="200">
        <f t="shared" si="10"/>
        <v>17448</v>
      </c>
      <c r="O131" s="15"/>
      <c r="P131" s="191">
        <f>SUM(P120:P130)</f>
        <v>50000</v>
      </c>
      <c r="Q131" s="15">
        <f>SUM(Q120:Q130)</f>
        <v>96320</v>
      </c>
      <c r="R131" s="60">
        <f>SUM(R120:R130)</f>
        <v>67426</v>
      </c>
      <c r="S131" s="199"/>
      <c r="T131" s="191">
        <f>SUM(T120:T130)</f>
        <v>0</v>
      </c>
      <c r="U131" s="191">
        <f>SUM(U120:U130)</f>
        <v>0</v>
      </c>
      <c r="V131" s="191">
        <f>SUM(V120:V130)</f>
        <v>220500</v>
      </c>
      <c r="W131" s="191">
        <f>SUM(W120:W130)</f>
        <v>64500</v>
      </c>
      <c r="X131" s="200">
        <f>SUM(X120:X130)</f>
        <v>64550</v>
      </c>
      <c r="Y131" s="205"/>
      <c r="Z131" s="191">
        <f t="shared" ref="Z131:AG131" si="11">SUM(Z120:Z130)</f>
        <v>242000</v>
      </c>
      <c r="AA131" s="200">
        <f t="shared" si="11"/>
        <v>261250</v>
      </c>
      <c r="AB131" s="15">
        <f t="shared" si="11"/>
        <v>0</v>
      </c>
      <c r="AC131" s="15">
        <f t="shared" si="11"/>
        <v>81000</v>
      </c>
      <c r="AD131" s="15">
        <f t="shared" si="11"/>
        <v>164750</v>
      </c>
      <c r="AE131" s="15">
        <f t="shared" si="11"/>
        <v>0</v>
      </c>
      <c r="AF131" s="15">
        <f t="shared" si="11"/>
        <v>0</v>
      </c>
      <c r="AG131" s="15">
        <f t="shared" si="11"/>
        <v>52950</v>
      </c>
      <c r="AH131" s="101">
        <f t="shared" si="8"/>
        <v>-1.0000000009313226E-2</v>
      </c>
    </row>
    <row r="132" spans="1:34" s="37" customFormat="1" x14ac:dyDescent="0.2">
      <c r="A132" s="133" t="s">
        <v>109</v>
      </c>
      <c r="B132" s="43"/>
      <c r="C132" s="43"/>
      <c r="D132" s="43"/>
      <c r="E132" s="213"/>
      <c r="F132" s="43"/>
      <c r="G132" s="44"/>
      <c r="H132" s="45"/>
      <c r="I132" s="45"/>
      <c r="J132" s="58"/>
      <c r="K132" s="43"/>
      <c r="L132" s="45"/>
      <c r="M132" s="45"/>
      <c r="N132" s="46"/>
      <c r="O132" s="55"/>
      <c r="P132" s="45"/>
      <c r="Q132" s="55"/>
      <c r="R132" s="58"/>
      <c r="S132" s="43"/>
      <c r="T132" s="45"/>
      <c r="U132" s="45"/>
      <c r="V132" s="45"/>
      <c r="W132" s="45"/>
      <c r="X132" s="46"/>
      <c r="Y132" s="146"/>
      <c r="Z132" s="45"/>
      <c r="AA132" s="46"/>
      <c r="AB132" s="146"/>
      <c r="AC132" s="45"/>
      <c r="AD132" s="45"/>
      <c r="AE132" s="43"/>
      <c r="AF132" s="45"/>
      <c r="AG132" s="45"/>
      <c r="AH132" s="101">
        <f t="shared" si="8"/>
        <v>0</v>
      </c>
    </row>
    <row r="133" spans="1:34" s="37" customFormat="1" x14ac:dyDescent="0.2">
      <c r="A133" s="133" t="s">
        <v>110</v>
      </c>
      <c r="B133" s="43"/>
      <c r="C133" s="43"/>
      <c r="D133" s="43">
        <v>205.7</v>
      </c>
      <c r="E133" s="213"/>
      <c r="F133" s="43"/>
      <c r="G133" s="44"/>
      <c r="H133" s="45"/>
      <c r="I133" s="45">
        <f>13000+106.48</f>
        <v>13106.48</v>
      </c>
      <c r="J133" s="58">
        <v>5000</v>
      </c>
      <c r="K133" s="43"/>
      <c r="L133" s="45"/>
      <c r="M133" s="45">
        <v>30000</v>
      </c>
      <c r="N133" s="46">
        <v>30200</v>
      </c>
      <c r="O133" s="55"/>
      <c r="P133" s="45"/>
      <c r="Q133" s="55">
        <v>2276</v>
      </c>
      <c r="R133" s="58">
        <v>10388</v>
      </c>
      <c r="S133" s="43"/>
      <c r="T133" s="45"/>
      <c r="U133" s="45"/>
      <c r="V133" s="45"/>
      <c r="W133" s="45"/>
      <c r="X133" s="46"/>
      <c r="Y133" s="146"/>
      <c r="Z133" s="45"/>
      <c r="AA133" s="46"/>
      <c r="AB133" s="146"/>
      <c r="AC133" s="45"/>
      <c r="AD133" s="45"/>
      <c r="AE133" s="43"/>
      <c r="AF133" s="45"/>
      <c r="AG133" s="45"/>
      <c r="AH133" s="101">
        <f t="shared" si="8"/>
        <v>0.18000000000029104</v>
      </c>
    </row>
    <row r="134" spans="1:34" s="8" customFormat="1" x14ac:dyDescent="0.2">
      <c r="A134" s="17" t="s">
        <v>32</v>
      </c>
      <c r="B134" s="25">
        <f t="shared" ref="B134:T134" si="12">SUM(B132:B133)</f>
        <v>0</v>
      </c>
      <c r="C134" s="25">
        <f t="shared" si="12"/>
        <v>0</v>
      </c>
      <c r="D134" s="25">
        <f t="shared" si="12"/>
        <v>205.7</v>
      </c>
      <c r="E134" s="142">
        <f t="shared" si="12"/>
        <v>0</v>
      </c>
      <c r="F134" s="199">
        <f t="shared" si="12"/>
        <v>0</v>
      </c>
      <c r="G134" s="191">
        <f t="shared" si="12"/>
        <v>0</v>
      </c>
      <c r="H134" s="191">
        <f t="shared" si="12"/>
        <v>0</v>
      </c>
      <c r="I134" s="191">
        <f t="shared" si="12"/>
        <v>13106.48</v>
      </c>
      <c r="J134" s="218">
        <f t="shared" si="12"/>
        <v>5000</v>
      </c>
      <c r="K134" s="199">
        <f t="shared" si="12"/>
        <v>0</v>
      </c>
      <c r="L134" s="191">
        <f t="shared" si="12"/>
        <v>0</v>
      </c>
      <c r="M134" s="191">
        <f t="shared" si="12"/>
        <v>30000</v>
      </c>
      <c r="N134" s="200">
        <f t="shared" si="12"/>
        <v>30200</v>
      </c>
      <c r="O134" s="15"/>
      <c r="P134" s="191">
        <f t="shared" si="12"/>
        <v>0</v>
      </c>
      <c r="Q134" s="15">
        <f t="shared" si="12"/>
        <v>2276</v>
      </c>
      <c r="R134" s="60">
        <f t="shared" si="12"/>
        <v>10388</v>
      </c>
      <c r="S134" s="199"/>
      <c r="T134" s="191">
        <f t="shared" si="12"/>
        <v>0</v>
      </c>
      <c r="U134" s="191">
        <f>SUM(U132:U133)</f>
        <v>0</v>
      </c>
      <c r="V134" s="191">
        <f t="shared" ref="V134:AG134" si="13">SUM(V132:V133)</f>
        <v>0</v>
      </c>
      <c r="W134" s="191">
        <f t="shared" si="13"/>
        <v>0</v>
      </c>
      <c r="X134" s="200">
        <f t="shared" si="13"/>
        <v>0</v>
      </c>
      <c r="Y134" s="205"/>
      <c r="Z134" s="191">
        <f t="shared" si="13"/>
        <v>0</v>
      </c>
      <c r="AA134" s="200">
        <f t="shared" si="13"/>
        <v>0</v>
      </c>
      <c r="AB134" s="15">
        <f t="shared" si="13"/>
        <v>0</v>
      </c>
      <c r="AC134" s="15">
        <f t="shared" si="13"/>
        <v>0</v>
      </c>
      <c r="AD134" s="15">
        <f t="shared" si="13"/>
        <v>0</v>
      </c>
      <c r="AE134" s="15">
        <f t="shared" si="13"/>
        <v>0</v>
      </c>
      <c r="AF134" s="15">
        <f t="shared" si="13"/>
        <v>0</v>
      </c>
      <c r="AG134" s="15">
        <f t="shared" si="13"/>
        <v>0</v>
      </c>
      <c r="AH134" s="101">
        <f t="shared" si="8"/>
        <v>0.18000000000029104</v>
      </c>
    </row>
    <row r="135" spans="1:34" s="37" customFormat="1" x14ac:dyDescent="0.2">
      <c r="A135" s="125" t="s">
        <v>98</v>
      </c>
      <c r="B135" s="43"/>
      <c r="C135" s="43"/>
      <c r="D135" s="43"/>
      <c r="E135" s="213"/>
      <c r="F135" s="43"/>
      <c r="G135" s="44"/>
      <c r="H135" s="45"/>
      <c r="I135" s="45"/>
      <c r="J135" s="58"/>
      <c r="K135" s="43"/>
      <c r="L135" s="45"/>
      <c r="M135" s="120">
        <v>25700</v>
      </c>
      <c r="N135" s="46">
        <v>0</v>
      </c>
      <c r="O135" s="55"/>
      <c r="P135" s="45"/>
      <c r="Q135" s="124">
        <v>40000</v>
      </c>
      <c r="R135" s="123">
        <v>65700</v>
      </c>
      <c r="S135" s="152"/>
      <c r="T135" s="45"/>
      <c r="U135" s="45"/>
      <c r="V135" s="45"/>
      <c r="W135" s="45"/>
      <c r="X135" s="46"/>
      <c r="Y135" s="146"/>
      <c r="Z135" s="45"/>
      <c r="AA135" s="46"/>
      <c r="AB135" s="146"/>
      <c r="AC135" s="45"/>
      <c r="AD135" s="45"/>
      <c r="AE135" s="43"/>
      <c r="AF135" s="45"/>
      <c r="AG135" s="45"/>
      <c r="AH135" s="101">
        <f t="shared" si="8"/>
        <v>0</v>
      </c>
    </row>
    <row r="136" spans="1:34" s="37" customFormat="1" ht="25.5" x14ac:dyDescent="0.2">
      <c r="A136" s="130" t="s">
        <v>99</v>
      </c>
      <c r="B136" s="43"/>
      <c r="C136" s="43"/>
      <c r="D136" s="43"/>
      <c r="E136" s="213"/>
      <c r="F136" s="43"/>
      <c r="G136" s="44"/>
      <c r="H136" s="45"/>
      <c r="I136" s="45"/>
      <c r="J136" s="58"/>
      <c r="K136" s="43"/>
      <c r="L136" s="45"/>
      <c r="M136" s="45">
        <v>0</v>
      </c>
      <c r="N136" s="46"/>
      <c r="O136" s="55"/>
      <c r="P136" s="45"/>
      <c r="Q136" s="55"/>
      <c r="R136" s="58"/>
      <c r="S136" s="43"/>
      <c r="T136" s="45"/>
      <c r="U136" s="45"/>
      <c r="V136" s="45"/>
      <c r="W136" s="45"/>
      <c r="X136" s="46"/>
      <c r="Y136" s="146"/>
      <c r="Z136" s="45"/>
      <c r="AA136" s="46"/>
      <c r="AB136" s="146"/>
      <c r="AC136" s="45"/>
      <c r="AD136" s="45"/>
      <c r="AE136" s="43"/>
      <c r="AF136" s="45"/>
      <c r="AG136" s="45"/>
      <c r="AH136" s="101">
        <f t="shared" si="8"/>
        <v>0</v>
      </c>
    </row>
    <row r="137" spans="1:34" s="37" customFormat="1" x14ac:dyDescent="0.2">
      <c r="A137" s="125" t="s">
        <v>100</v>
      </c>
      <c r="B137" s="43"/>
      <c r="C137" s="43"/>
      <c r="D137" s="43"/>
      <c r="E137" s="213"/>
      <c r="F137" s="43"/>
      <c r="G137" s="44"/>
      <c r="H137" s="45"/>
      <c r="I137" s="45"/>
      <c r="J137" s="58"/>
      <c r="K137" s="43"/>
      <c r="L137" s="45"/>
      <c r="M137" s="120">
        <v>41800</v>
      </c>
      <c r="N137" s="121">
        <f>20000+2000</f>
        <v>22000</v>
      </c>
      <c r="O137" s="124"/>
      <c r="P137" s="45"/>
      <c r="Q137" s="124">
        <v>42500</v>
      </c>
      <c r="R137" s="123">
        <f>64300-2000</f>
        <v>62300</v>
      </c>
      <c r="S137" s="152"/>
      <c r="T137" s="45"/>
      <c r="U137" s="45"/>
      <c r="V137" s="45"/>
      <c r="W137" s="45"/>
      <c r="X137" s="46"/>
      <c r="Y137" s="146"/>
      <c r="Z137" s="45"/>
      <c r="AA137" s="46"/>
      <c r="AB137" s="146"/>
      <c r="AC137" s="45"/>
      <c r="AD137" s="45"/>
      <c r="AE137" s="43"/>
      <c r="AF137" s="45"/>
      <c r="AG137" s="45"/>
      <c r="AH137" s="101">
        <f t="shared" si="8"/>
        <v>0</v>
      </c>
    </row>
    <row r="138" spans="1:34" s="37" customFormat="1" x14ac:dyDescent="0.2">
      <c r="A138" s="125" t="s">
        <v>210</v>
      </c>
      <c r="B138" s="43"/>
      <c r="C138" s="43"/>
      <c r="D138" s="43"/>
      <c r="E138" s="213"/>
      <c r="F138" s="43"/>
      <c r="G138" s="44"/>
      <c r="H138" s="45"/>
      <c r="I138" s="45"/>
      <c r="J138" s="58"/>
      <c r="K138" s="43"/>
      <c r="L138" s="45"/>
      <c r="M138" s="120"/>
      <c r="N138" s="121"/>
      <c r="O138" s="124"/>
      <c r="P138" s="45"/>
      <c r="Q138" s="124">
        <v>27000</v>
      </c>
      <c r="R138" s="123"/>
      <c r="S138" s="152"/>
      <c r="T138" s="45"/>
      <c r="U138" s="45"/>
      <c r="V138" s="45"/>
      <c r="W138" s="45">
        <v>27000</v>
      </c>
      <c r="X138" s="46"/>
      <c r="Y138" s="146"/>
      <c r="Z138" s="45"/>
      <c r="AA138" s="46"/>
      <c r="AB138" s="146"/>
      <c r="AC138" s="45"/>
      <c r="AD138" s="45"/>
      <c r="AE138" s="43"/>
      <c r="AF138" s="45"/>
      <c r="AG138" s="45"/>
      <c r="AH138" s="101">
        <f t="shared" si="8"/>
        <v>0</v>
      </c>
    </row>
    <row r="139" spans="1:34" x14ac:dyDescent="0.2">
      <c r="A139" s="125" t="s">
        <v>92</v>
      </c>
      <c r="B139" s="23"/>
      <c r="C139" s="23"/>
      <c r="D139" s="23"/>
      <c r="E139" s="214"/>
      <c r="F139" s="23"/>
      <c r="G139" s="6"/>
      <c r="H139" s="6"/>
      <c r="I139" s="6"/>
      <c r="J139" s="59"/>
      <c r="K139" s="23"/>
      <c r="L139" s="6"/>
      <c r="M139" s="6"/>
      <c r="N139" s="24"/>
      <c r="O139" s="56"/>
      <c r="P139" s="6"/>
      <c r="Q139" s="127">
        <v>55000</v>
      </c>
      <c r="R139" s="203"/>
      <c r="S139" s="206"/>
      <c r="T139" s="6"/>
      <c r="U139" s="6"/>
      <c r="V139" s="6">
        <v>97500</v>
      </c>
      <c r="W139" s="6">
        <v>55000</v>
      </c>
      <c r="X139" s="24"/>
      <c r="Y139" s="159"/>
      <c r="Z139" s="6"/>
      <c r="AA139" s="24">
        <v>97500</v>
      </c>
      <c r="AB139" s="159"/>
      <c r="AC139" s="6"/>
      <c r="AD139" s="6"/>
      <c r="AE139" s="23"/>
      <c r="AF139" s="6"/>
      <c r="AG139" s="6"/>
      <c r="AH139" s="101">
        <f t="shared" si="8"/>
        <v>0</v>
      </c>
    </row>
    <row r="140" spans="1:34" s="8" customFormat="1" x14ac:dyDescent="0.2">
      <c r="A140" s="17" t="s">
        <v>93</v>
      </c>
      <c r="B140" s="25">
        <f t="shared" ref="B140:T140" si="14">SUM(B135:B139)</f>
        <v>0</v>
      </c>
      <c r="C140" s="25">
        <f t="shared" si="14"/>
        <v>0</v>
      </c>
      <c r="D140" s="25">
        <f t="shared" si="14"/>
        <v>0</v>
      </c>
      <c r="E140" s="142">
        <f t="shared" si="14"/>
        <v>0</v>
      </c>
      <c r="F140" s="199">
        <f t="shared" si="14"/>
        <v>0</v>
      </c>
      <c r="G140" s="191">
        <f t="shared" si="14"/>
        <v>0</v>
      </c>
      <c r="H140" s="191">
        <f t="shared" si="14"/>
        <v>0</v>
      </c>
      <c r="I140" s="191">
        <f t="shared" si="14"/>
        <v>0</v>
      </c>
      <c r="J140" s="218">
        <f t="shared" si="14"/>
        <v>0</v>
      </c>
      <c r="K140" s="199">
        <f t="shared" si="14"/>
        <v>0</v>
      </c>
      <c r="L140" s="191">
        <f t="shared" si="14"/>
        <v>0</v>
      </c>
      <c r="M140" s="191">
        <f t="shared" si="14"/>
        <v>67500</v>
      </c>
      <c r="N140" s="200">
        <f t="shared" si="14"/>
        <v>22000</v>
      </c>
      <c r="O140" s="200">
        <f t="shared" si="14"/>
        <v>0</v>
      </c>
      <c r="P140" s="191">
        <f t="shared" si="14"/>
        <v>0</v>
      </c>
      <c r="Q140" s="15">
        <f t="shared" si="14"/>
        <v>164500</v>
      </c>
      <c r="R140" s="60">
        <f t="shared" si="14"/>
        <v>128000</v>
      </c>
      <c r="S140" s="199"/>
      <c r="T140" s="191">
        <f t="shared" si="14"/>
        <v>0</v>
      </c>
      <c r="U140" s="191">
        <f>SUM(U135:U139)</f>
        <v>0</v>
      </c>
      <c r="V140" s="191">
        <f t="shared" ref="V140:AG140" si="15">SUM(V135:V139)</f>
        <v>97500</v>
      </c>
      <c r="W140" s="191">
        <f t="shared" si="15"/>
        <v>82000</v>
      </c>
      <c r="X140" s="200">
        <f t="shared" si="15"/>
        <v>0</v>
      </c>
      <c r="Y140" s="205"/>
      <c r="Z140" s="191">
        <f t="shared" si="15"/>
        <v>0</v>
      </c>
      <c r="AA140" s="200">
        <f t="shared" si="15"/>
        <v>97500</v>
      </c>
      <c r="AB140" s="15">
        <f t="shared" si="15"/>
        <v>0</v>
      </c>
      <c r="AC140" s="15">
        <f t="shared" si="15"/>
        <v>0</v>
      </c>
      <c r="AD140" s="15">
        <f t="shared" si="15"/>
        <v>0</v>
      </c>
      <c r="AE140" s="15">
        <f t="shared" si="15"/>
        <v>0</v>
      </c>
      <c r="AF140" s="15">
        <f t="shared" si="15"/>
        <v>0</v>
      </c>
      <c r="AG140" s="15">
        <f t="shared" si="15"/>
        <v>0</v>
      </c>
      <c r="AH140" s="101">
        <f t="shared" si="8"/>
        <v>0</v>
      </c>
    </row>
    <row r="141" spans="1:34" s="37" customFormat="1" x14ac:dyDescent="0.2">
      <c r="A141" s="133" t="s">
        <v>111</v>
      </c>
      <c r="B141" s="43"/>
      <c r="C141" s="43"/>
      <c r="D141" s="43"/>
      <c r="E141" s="213"/>
      <c r="F141" s="43"/>
      <c r="G141" s="44"/>
      <c r="H141" s="45"/>
      <c r="I141" s="45"/>
      <c r="J141" s="58"/>
      <c r="K141" s="43"/>
      <c r="L141" s="45">
        <v>7543</v>
      </c>
      <c r="M141" s="45">
        <v>42000</v>
      </c>
      <c r="N141" s="46"/>
      <c r="O141" s="55"/>
      <c r="P141" s="45">
        <v>28670</v>
      </c>
      <c r="Q141" s="55">
        <v>156000</v>
      </c>
      <c r="R141" s="58">
        <v>198000</v>
      </c>
      <c r="S141" s="43"/>
      <c r="T141" s="45"/>
      <c r="U141" s="45"/>
      <c r="V141" s="45"/>
      <c r="W141" s="45"/>
      <c r="X141" s="46"/>
      <c r="Y141" s="146"/>
      <c r="Z141" s="45"/>
      <c r="AA141" s="46"/>
      <c r="AB141" s="146"/>
      <c r="AC141" s="45"/>
      <c r="AD141" s="45"/>
      <c r="AE141" s="43"/>
      <c r="AF141" s="45"/>
      <c r="AG141" s="45"/>
      <c r="AH141" s="101">
        <f t="shared" si="8"/>
        <v>0</v>
      </c>
    </row>
    <row r="142" spans="1:34" s="8" customFormat="1" x14ac:dyDescent="0.2">
      <c r="A142" s="17" t="s">
        <v>112</v>
      </c>
      <c r="B142" s="1">
        <f t="shared" ref="B142:T142" si="16">SUBTOTAL(9,B141)</f>
        <v>0</v>
      </c>
      <c r="C142" s="1">
        <f t="shared" si="16"/>
        <v>0</v>
      </c>
      <c r="D142" s="1">
        <f t="shared" si="16"/>
        <v>0</v>
      </c>
      <c r="E142" s="60">
        <f t="shared" si="16"/>
        <v>0</v>
      </c>
      <c r="F142" s="199">
        <f t="shared" si="16"/>
        <v>0</v>
      </c>
      <c r="G142" s="191">
        <f t="shared" si="16"/>
        <v>0</v>
      </c>
      <c r="H142" s="191">
        <f t="shared" si="16"/>
        <v>0</v>
      </c>
      <c r="I142" s="191">
        <f t="shared" si="16"/>
        <v>0</v>
      </c>
      <c r="J142" s="218">
        <f t="shared" si="16"/>
        <v>0</v>
      </c>
      <c r="K142" s="199">
        <f t="shared" si="16"/>
        <v>0</v>
      </c>
      <c r="L142" s="191">
        <f t="shared" si="16"/>
        <v>7543</v>
      </c>
      <c r="M142" s="191">
        <f t="shared" si="16"/>
        <v>42000</v>
      </c>
      <c r="N142" s="200">
        <f t="shared" si="16"/>
        <v>0</v>
      </c>
      <c r="O142" s="200">
        <f t="shared" si="16"/>
        <v>0</v>
      </c>
      <c r="P142" s="191">
        <f t="shared" si="16"/>
        <v>28670</v>
      </c>
      <c r="Q142" s="15">
        <f>SUM(Q141)</f>
        <v>156000</v>
      </c>
      <c r="R142" s="60">
        <f t="shared" si="16"/>
        <v>198000</v>
      </c>
      <c r="S142" s="199"/>
      <c r="T142" s="191">
        <f t="shared" si="16"/>
        <v>0</v>
      </c>
      <c r="U142" s="191">
        <f>SUM(U141)</f>
        <v>0</v>
      </c>
      <c r="V142" s="191">
        <f t="shared" ref="V142:AG142" si="17">SUM(V141)</f>
        <v>0</v>
      </c>
      <c r="W142" s="191">
        <f t="shared" si="17"/>
        <v>0</v>
      </c>
      <c r="X142" s="200">
        <f t="shared" si="17"/>
        <v>0</v>
      </c>
      <c r="Y142" s="205"/>
      <c r="Z142" s="191">
        <f t="shared" si="17"/>
        <v>0</v>
      </c>
      <c r="AA142" s="200">
        <f t="shared" si="17"/>
        <v>0</v>
      </c>
      <c r="AB142" s="15">
        <f t="shared" si="17"/>
        <v>0</v>
      </c>
      <c r="AC142" s="15">
        <f t="shared" si="17"/>
        <v>0</v>
      </c>
      <c r="AD142" s="15">
        <f t="shared" si="17"/>
        <v>0</v>
      </c>
      <c r="AE142" s="15">
        <f t="shared" si="17"/>
        <v>0</v>
      </c>
      <c r="AF142" s="15">
        <f t="shared" si="17"/>
        <v>0</v>
      </c>
      <c r="AG142" s="15">
        <f t="shared" si="17"/>
        <v>0</v>
      </c>
      <c r="AH142" s="101">
        <f t="shared" si="8"/>
        <v>0</v>
      </c>
    </row>
    <row r="143" spans="1:34" s="8" customFormat="1" ht="18.75" customHeight="1" thickBot="1" x14ac:dyDescent="0.25">
      <c r="A143" s="73"/>
      <c r="B143" s="74">
        <f t="shared" ref="B143:AG143" si="18">B142+B140+B134+B131+B119+B68+B54+B37</f>
        <v>0</v>
      </c>
      <c r="C143" s="74">
        <f t="shared" si="18"/>
        <v>459878.44561000005</v>
      </c>
      <c r="D143" s="74">
        <f t="shared" si="18"/>
        <v>312288.5</v>
      </c>
      <c r="E143" s="143">
        <f t="shared" si="18"/>
        <v>331976.3</v>
      </c>
      <c r="F143" s="207">
        <f t="shared" si="18"/>
        <v>199479.2</v>
      </c>
      <c r="G143" s="192">
        <f t="shared" si="18"/>
        <v>1028.5999999999999</v>
      </c>
      <c r="H143" s="192">
        <f t="shared" si="18"/>
        <v>590885.6399999999</v>
      </c>
      <c r="I143" s="192">
        <f t="shared" si="18"/>
        <v>410992.55000000005</v>
      </c>
      <c r="J143" s="219">
        <f t="shared" si="18"/>
        <v>476024.62000000005</v>
      </c>
      <c r="K143" s="207">
        <f t="shared" si="18"/>
        <v>22574</v>
      </c>
      <c r="L143" s="192">
        <f t="shared" si="18"/>
        <v>1182830</v>
      </c>
      <c r="M143" s="192">
        <f t="shared" si="18"/>
        <v>1061638.58</v>
      </c>
      <c r="N143" s="208">
        <f t="shared" si="18"/>
        <v>463885</v>
      </c>
      <c r="O143" s="208">
        <f t="shared" si="18"/>
        <v>99700</v>
      </c>
      <c r="P143" s="192">
        <f t="shared" si="18"/>
        <v>959852</v>
      </c>
      <c r="Q143" s="163">
        <f t="shared" si="18"/>
        <v>1295248</v>
      </c>
      <c r="R143" s="143">
        <f t="shared" si="18"/>
        <v>1340575</v>
      </c>
      <c r="S143" s="207">
        <f t="shared" si="18"/>
        <v>75900</v>
      </c>
      <c r="T143" s="192">
        <f t="shared" si="18"/>
        <v>196320</v>
      </c>
      <c r="U143" s="192">
        <f t="shared" si="18"/>
        <v>0</v>
      </c>
      <c r="V143" s="192">
        <f t="shared" si="18"/>
        <v>1664315</v>
      </c>
      <c r="W143" s="192">
        <f t="shared" si="18"/>
        <v>923800</v>
      </c>
      <c r="X143" s="208">
        <f t="shared" si="18"/>
        <v>245400</v>
      </c>
      <c r="Y143" s="201">
        <f t="shared" si="18"/>
        <v>85200</v>
      </c>
      <c r="Z143" s="201">
        <f t="shared" si="18"/>
        <v>1809180</v>
      </c>
      <c r="AA143" s="202">
        <f t="shared" si="18"/>
        <v>1871065</v>
      </c>
      <c r="AB143" s="163">
        <f t="shared" si="18"/>
        <v>0</v>
      </c>
      <c r="AC143" s="74">
        <f t="shared" si="18"/>
        <v>1147600</v>
      </c>
      <c r="AD143" s="74">
        <f t="shared" si="18"/>
        <v>1493380</v>
      </c>
      <c r="AE143" s="74">
        <f t="shared" si="18"/>
        <v>0</v>
      </c>
      <c r="AF143" s="74">
        <f t="shared" si="18"/>
        <v>0</v>
      </c>
      <c r="AG143" s="74">
        <f t="shared" si="18"/>
        <v>1011250</v>
      </c>
      <c r="AH143" s="101">
        <f t="shared" si="8"/>
        <v>3785.155610000249</v>
      </c>
    </row>
    <row r="144" spans="1:34" s="8" customFormat="1" x14ac:dyDescent="0.2">
      <c r="A144" s="2"/>
      <c r="B144" s="29"/>
      <c r="C144" s="29"/>
      <c r="D144" s="29"/>
      <c r="E144" s="29">
        <f>C143+D143-E143</f>
        <v>440190.64561000007</v>
      </c>
      <c r="F144" s="153"/>
      <c r="G144" s="144"/>
      <c r="H144" s="144"/>
      <c r="I144" s="144"/>
      <c r="J144" s="220">
        <f>E144+I143-J143</f>
        <v>375158.57561</v>
      </c>
      <c r="K144" s="153"/>
      <c r="L144" s="144"/>
      <c r="M144" s="144"/>
      <c r="N144" s="154">
        <f>J144+M143-N143</f>
        <v>972912.15561000002</v>
      </c>
      <c r="O144" s="3"/>
      <c r="P144" s="144"/>
      <c r="Q144" s="3"/>
      <c r="R144" s="3">
        <f>N144+Q143-R143</f>
        <v>927585.15560999978</v>
      </c>
      <c r="S144" s="153"/>
      <c r="T144" s="144"/>
      <c r="U144" s="144"/>
      <c r="V144" s="144"/>
      <c r="W144" s="144">
        <f>R144+U143-W143</f>
        <v>3785.1556099997833</v>
      </c>
      <c r="X144" s="154"/>
      <c r="Y144" s="3"/>
      <c r="Z144" s="194"/>
      <c r="AA144" s="195"/>
      <c r="AB144" s="164"/>
      <c r="AC144" s="144"/>
      <c r="AD144" s="144"/>
      <c r="AE144" s="153"/>
      <c r="AF144" s="144"/>
      <c r="AG144" s="144"/>
      <c r="AH144" s="101">
        <f t="shared" si="8"/>
        <v>-2719631.6880499995</v>
      </c>
    </row>
    <row r="145" spans="1:34" s="8" customFormat="1" ht="38.25" x14ac:dyDescent="0.2">
      <c r="A145" s="51" t="s">
        <v>137</v>
      </c>
      <c r="B145" s="66"/>
      <c r="C145" s="66"/>
      <c r="D145" s="66"/>
      <c r="E145" s="217"/>
      <c r="F145" s="66"/>
      <c r="G145" s="67"/>
      <c r="H145" s="67"/>
      <c r="I145" s="67"/>
      <c r="J145" s="68"/>
      <c r="K145" s="66"/>
      <c r="L145" s="67"/>
      <c r="M145" s="67"/>
      <c r="N145" s="69"/>
      <c r="O145" s="70"/>
      <c r="P145" s="67"/>
      <c r="Q145" s="70"/>
      <c r="R145" s="68"/>
      <c r="S145" s="66"/>
      <c r="T145" s="67"/>
      <c r="U145" s="67"/>
      <c r="V145" s="67"/>
      <c r="W145" s="67"/>
      <c r="X145" s="69"/>
      <c r="Y145" s="70"/>
      <c r="Z145" s="66"/>
      <c r="AA145" s="69"/>
      <c r="AB145" s="165"/>
      <c r="AC145" s="67"/>
      <c r="AD145" s="67"/>
      <c r="AE145" s="66"/>
      <c r="AF145" s="67"/>
      <c r="AG145" s="67"/>
      <c r="AH145" s="101">
        <f t="shared" si="8"/>
        <v>0</v>
      </c>
    </row>
    <row r="146" spans="1:34" s="8" customFormat="1" ht="38.25" x14ac:dyDescent="0.2">
      <c r="A146" s="52" t="s">
        <v>117</v>
      </c>
      <c r="B146" s="43"/>
      <c r="C146" s="43"/>
      <c r="D146" s="43">
        <v>4200.32</v>
      </c>
      <c r="E146" s="213">
        <v>0</v>
      </c>
      <c r="F146" s="43"/>
      <c r="G146" s="44"/>
      <c r="H146" s="45"/>
      <c r="I146" s="45"/>
      <c r="J146" s="58">
        <v>4246</v>
      </c>
      <c r="K146" s="43"/>
      <c r="L146" s="45"/>
      <c r="M146" s="45"/>
      <c r="N146" s="46"/>
      <c r="O146" s="55"/>
      <c r="P146" s="45"/>
      <c r="Q146" s="55"/>
      <c r="R146" s="58"/>
      <c r="S146" s="43"/>
      <c r="T146" s="45"/>
      <c r="U146" s="45"/>
      <c r="V146" s="45"/>
      <c r="W146" s="45"/>
      <c r="X146" s="46"/>
      <c r="Y146" s="55"/>
      <c r="Z146" s="43"/>
      <c r="AA146" s="46"/>
      <c r="AB146" s="146"/>
      <c r="AC146" s="45"/>
      <c r="AD146" s="45"/>
      <c r="AE146" s="43"/>
      <c r="AF146" s="45"/>
      <c r="AG146" s="45"/>
      <c r="AH146" s="101">
        <f t="shared" si="8"/>
        <v>-45.680000000000291</v>
      </c>
    </row>
    <row r="147" spans="1:34" s="8" customFormat="1" ht="25.5" x14ac:dyDescent="0.2">
      <c r="A147" s="52" t="s">
        <v>118</v>
      </c>
      <c r="B147" s="43"/>
      <c r="C147" s="43"/>
      <c r="D147" s="43">
        <v>12485.01</v>
      </c>
      <c r="E147" s="213"/>
      <c r="F147" s="43"/>
      <c r="G147" s="44"/>
      <c r="H147" s="45"/>
      <c r="I147" s="45">
        <v>1198.5</v>
      </c>
      <c r="J147" s="58">
        <v>13684</v>
      </c>
      <c r="K147" s="43"/>
      <c r="L147" s="45"/>
      <c r="M147" s="45"/>
      <c r="N147" s="46"/>
      <c r="O147" s="55"/>
      <c r="P147" s="45"/>
      <c r="Q147" s="55"/>
      <c r="R147" s="58"/>
      <c r="S147" s="43"/>
      <c r="T147" s="45"/>
      <c r="U147" s="45"/>
      <c r="V147" s="45"/>
      <c r="W147" s="45"/>
      <c r="X147" s="46"/>
      <c r="Y147" s="55"/>
      <c r="Z147" s="43"/>
      <c r="AA147" s="46"/>
      <c r="AB147" s="146"/>
      <c r="AC147" s="45"/>
      <c r="AD147" s="45"/>
      <c r="AE147" s="43"/>
      <c r="AF147" s="45"/>
      <c r="AG147" s="45"/>
      <c r="AH147" s="101">
        <f t="shared" si="8"/>
        <v>-0.48999999999978172</v>
      </c>
    </row>
    <row r="148" spans="1:34" s="8" customFormat="1" ht="25.5" x14ac:dyDescent="0.2">
      <c r="A148" s="52" t="s">
        <v>119</v>
      </c>
      <c r="B148" s="43"/>
      <c r="C148" s="43"/>
      <c r="D148" s="43">
        <v>731.76</v>
      </c>
      <c r="E148" s="213"/>
      <c r="F148" s="43"/>
      <c r="G148" s="44"/>
      <c r="H148" s="45"/>
      <c r="I148" s="45">
        <v>11.66</v>
      </c>
      <c r="J148" s="58"/>
      <c r="K148" s="43"/>
      <c r="L148" s="45"/>
      <c r="M148" s="45"/>
      <c r="N148" s="46">
        <v>743.42</v>
      </c>
      <c r="O148" s="55"/>
      <c r="P148" s="45"/>
      <c r="Q148" s="55"/>
      <c r="R148" s="58"/>
      <c r="S148" s="43"/>
      <c r="T148" s="45"/>
      <c r="U148" s="45"/>
      <c r="V148" s="45"/>
      <c r="W148" s="45"/>
      <c r="X148" s="46"/>
      <c r="Y148" s="55"/>
      <c r="Z148" s="43"/>
      <c r="AA148" s="46"/>
      <c r="AB148" s="146"/>
      <c r="AC148" s="45"/>
      <c r="AD148" s="45"/>
      <c r="AE148" s="43"/>
      <c r="AF148" s="45"/>
      <c r="AG148" s="45"/>
      <c r="AH148" s="101">
        <f t="shared" si="8"/>
        <v>0</v>
      </c>
    </row>
    <row r="149" spans="1:34" s="8" customFormat="1" ht="25.5" x14ac:dyDescent="0.2">
      <c r="A149" s="53" t="s">
        <v>120</v>
      </c>
      <c r="B149" s="43"/>
      <c r="C149" s="43"/>
      <c r="D149" s="43">
        <v>40663.625010000003</v>
      </c>
      <c r="E149" s="213"/>
      <c r="F149" s="43"/>
      <c r="G149" s="44"/>
      <c r="H149" s="45"/>
      <c r="I149" s="45">
        <v>5605.38</v>
      </c>
      <c r="J149" s="58">
        <v>46269</v>
      </c>
      <c r="K149" s="43"/>
      <c r="L149" s="45"/>
      <c r="M149" s="45"/>
      <c r="N149" s="46"/>
      <c r="O149" s="55"/>
      <c r="P149" s="45"/>
      <c r="Q149" s="55"/>
      <c r="R149" s="58"/>
      <c r="S149" s="43"/>
      <c r="T149" s="45"/>
      <c r="U149" s="45"/>
      <c r="V149" s="45"/>
      <c r="W149" s="45"/>
      <c r="X149" s="46"/>
      <c r="Y149" s="55"/>
      <c r="Z149" s="43"/>
      <c r="AA149" s="46"/>
      <c r="AB149" s="146"/>
      <c r="AC149" s="45"/>
      <c r="AD149" s="45"/>
      <c r="AE149" s="43"/>
      <c r="AF149" s="45"/>
      <c r="AG149" s="45"/>
      <c r="AH149" s="101">
        <f t="shared" si="8"/>
        <v>5.0100000007660128E-3</v>
      </c>
    </row>
    <row r="150" spans="1:34" s="8" customFormat="1" ht="25.5" x14ac:dyDescent="0.2">
      <c r="A150" s="53" t="s">
        <v>121</v>
      </c>
      <c r="B150" s="43"/>
      <c r="C150" s="43"/>
      <c r="D150" s="43">
        <v>0</v>
      </c>
      <c r="E150" s="213"/>
      <c r="F150" s="43"/>
      <c r="G150" s="44"/>
      <c r="H150" s="45"/>
      <c r="I150" s="45">
        <f>29294+22500</f>
        <v>51794</v>
      </c>
      <c r="J150" s="58"/>
      <c r="K150" s="43"/>
      <c r="L150" s="45"/>
      <c r="M150" s="45"/>
      <c r="N150" s="46">
        <v>51794</v>
      </c>
      <c r="O150" s="55"/>
      <c r="P150" s="45"/>
      <c r="Q150" s="55"/>
      <c r="R150" s="58"/>
      <c r="S150" s="43"/>
      <c r="T150" s="45"/>
      <c r="U150" s="45"/>
      <c r="V150" s="45"/>
      <c r="W150" s="45"/>
      <c r="X150" s="46"/>
      <c r="Y150" s="55"/>
      <c r="Z150" s="43"/>
      <c r="AA150" s="46"/>
      <c r="AB150" s="146"/>
      <c r="AC150" s="45"/>
      <c r="AD150" s="45"/>
      <c r="AE150" s="43"/>
      <c r="AF150" s="45"/>
      <c r="AG150" s="45"/>
      <c r="AH150" s="101">
        <f t="shared" si="8"/>
        <v>0</v>
      </c>
    </row>
    <row r="151" spans="1:34" s="8" customFormat="1" ht="25.5" x14ac:dyDescent="0.2">
      <c r="A151" s="53" t="s">
        <v>122</v>
      </c>
      <c r="B151" s="43"/>
      <c r="C151" s="43"/>
      <c r="D151" s="43"/>
      <c r="E151" s="213"/>
      <c r="F151" s="43"/>
      <c r="G151" s="44"/>
      <c r="H151" s="45"/>
      <c r="I151" s="45"/>
      <c r="J151" s="58"/>
      <c r="K151" s="43"/>
      <c r="L151" s="45"/>
      <c r="M151" s="45"/>
      <c r="N151" s="46"/>
      <c r="O151" s="55"/>
      <c r="P151" s="45"/>
      <c r="Q151" s="55"/>
      <c r="R151" s="58"/>
      <c r="S151" s="43"/>
      <c r="T151" s="45"/>
      <c r="U151" s="45"/>
      <c r="V151" s="45"/>
      <c r="W151" s="45"/>
      <c r="X151" s="46"/>
      <c r="Y151" s="55"/>
      <c r="Z151" s="43"/>
      <c r="AA151" s="46"/>
      <c r="AB151" s="146"/>
      <c r="AC151" s="45"/>
      <c r="AD151" s="45"/>
      <c r="AE151" s="43"/>
      <c r="AF151" s="45"/>
      <c r="AG151" s="45"/>
      <c r="AH151" s="101">
        <f t="shared" si="8"/>
        <v>0</v>
      </c>
    </row>
    <row r="152" spans="1:34" s="8" customFormat="1" ht="25.5" x14ac:dyDescent="0.2">
      <c r="A152" s="53" t="s">
        <v>123</v>
      </c>
      <c r="B152" s="43"/>
      <c r="C152" s="43"/>
      <c r="D152" s="43"/>
      <c r="E152" s="213"/>
      <c r="F152" s="43"/>
      <c r="G152" s="44"/>
      <c r="H152" s="45"/>
      <c r="I152" s="45"/>
      <c r="J152" s="58"/>
      <c r="K152" s="43"/>
      <c r="L152" s="45"/>
      <c r="M152" s="45"/>
      <c r="N152" s="46"/>
      <c r="O152" s="55"/>
      <c r="P152" s="45"/>
      <c r="Q152" s="55"/>
      <c r="R152" s="58"/>
      <c r="S152" s="43"/>
      <c r="T152" s="45"/>
      <c r="U152" s="45"/>
      <c r="V152" s="45"/>
      <c r="W152" s="45"/>
      <c r="X152" s="46"/>
      <c r="Y152" s="55"/>
      <c r="Z152" s="43"/>
      <c r="AA152" s="46"/>
      <c r="AB152" s="146"/>
      <c r="AC152" s="45"/>
      <c r="AD152" s="45"/>
      <c r="AE152" s="43"/>
      <c r="AF152" s="45"/>
      <c r="AG152" s="45"/>
      <c r="AH152" s="101">
        <f t="shared" si="8"/>
        <v>0</v>
      </c>
    </row>
    <row r="153" spans="1:34" s="8" customFormat="1" ht="25.5" x14ac:dyDescent="0.2">
      <c r="A153" s="53" t="s">
        <v>124</v>
      </c>
      <c r="B153" s="43"/>
      <c r="C153" s="43"/>
      <c r="D153" s="43"/>
      <c r="E153" s="213"/>
      <c r="F153" s="43"/>
      <c r="G153" s="44"/>
      <c r="H153" s="45"/>
      <c r="I153" s="45"/>
      <c r="J153" s="58"/>
      <c r="K153" s="43"/>
      <c r="L153" s="45"/>
      <c r="M153" s="45"/>
      <c r="N153" s="46"/>
      <c r="O153" s="55"/>
      <c r="P153" s="45"/>
      <c r="Q153" s="55"/>
      <c r="R153" s="58"/>
      <c r="S153" s="43"/>
      <c r="T153" s="45"/>
      <c r="U153" s="45"/>
      <c r="V153" s="45"/>
      <c r="W153" s="45"/>
      <c r="X153" s="46"/>
      <c r="Y153" s="55"/>
      <c r="Z153" s="43"/>
      <c r="AA153" s="46"/>
      <c r="AB153" s="146"/>
      <c r="AC153" s="45"/>
      <c r="AD153" s="45"/>
      <c r="AE153" s="43"/>
      <c r="AF153" s="45"/>
      <c r="AG153" s="45"/>
      <c r="AH153" s="101">
        <f t="shared" si="8"/>
        <v>0</v>
      </c>
    </row>
    <row r="154" spans="1:34" s="8" customFormat="1" ht="25.5" x14ac:dyDescent="0.2">
      <c r="A154" s="53" t="s">
        <v>125</v>
      </c>
      <c r="B154" s="43"/>
      <c r="C154" s="43"/>
      <c r="D154" s="43"/>
      <c r="E154" s="213"/>
      <c r="F154" s="43"/>
      <c r="G154" s="44"/>
      <c r="H154" s="45"/>
      <c r="I154" s="45"/>
      <c r="J154" s="58"/>
      <c r="K154" s="43"/>
      <c r="L154" s="45"/>
      <c r="M154" s="45"/>
      <c r="N154" s="46"/>
      <c r="O154" s="55"/>
      <c r="P154" s="45"/>
      <c r="Q154" s="55"/>
      <c r="R154" s="58"/>
      <c r="S154" s="43"/>
      <c r="T154" s="45"/>
      <c r="U154" s="45"/>
      <c r="V154" s="45"/>
      <c r="W154" s="45"/>
      <c r="X154" s="46"/>
      <c r="Y154" s="55"/>
      <c r="Z154" s="43"/>
      <c r="AA154" s="46"/>
      <c r="AB154" s="146"/>
      <c r="AC154" s="45"/>
      <c r="AD154" s="45"/>
      <c r="AE154" s="43"/>
      <c r="AF154" s="45"/>
      <c r="AG154" s="45"/>
      <c r="AH154" s="101">
        <f t="shared" si="8"/>
        <v>0</v>
      </c>
    </row>
    <row r="155" spans="1:34" s="8" customFormat="1" ht="25.5" x14ac:dyDescent="0.2">
      <c r="A155" s="53" t="s">
        <v>126</v>
      </c>
      <c r="B155" s="43"/>
      <c r="C155" s="43"/>
      <c r="D155" s="43"/>
      <c r="E155" s="213"/>
      <c r="F155" s="43"/>
      <c r="G155" s="44"/>
      <c r="H155" s="45"/>
      <c r="I155" s="45"/>
      <c r="J155" s="58"/>
      <c r="K155" s="43"/>
      <c r="L155" s="45"/>
      <c r="M155" s="45"/>
      <c r="N155" s="46"/>
      <c r="O155" s="55"/>
      <c r="P155" s="45"/>
      <c r="Q155" s="55"/>
      <c r="R155" s="58"/>
      <c r="S155" s="43"/>
      <c r="T155" s="45"/>
      <c r="U155" s="45"/>
      <c r="V155" s="45"/>
      <c r="W155" s="45"/>
      <c r="X155" s="46"/>
      <c r="Y155" s="55"/>
      <c r="Z155" s="43"/>
      <c r="AA155" s="46"/>
      <c r="AB155" s="146"/>
      <c r="AC155" s="45"/>
      <c r="AD155" s="45"/>
      <c r="AE155" s="43"/>
      <c r="AF155" s="45"/>
      <c r="AG155" s="45"/>
      <c r="AH155" s="101">
        <f t="shared" si="8"/>
        <v>0</v>
      </c>
    </row>
    <row r="156" spans="1:34" s="8" customFormat="1" ht="38.25" x14ac:dyDescent="0.2">
      <c r="A156" s="53" t="s">
        <v>127</v>
      </c>
      <c r="B156" s="43"/>
      <c r="C156" s="43"/>
      <c r="D156" s="43"/>
      <c r="E156" s="213"/>
      <c r="F156" s="43"/>
      <c r="G156" s="44"/>
      <c r="H156" s="45"/>
      <c r="I156" s="45"/>
      <c r="J156" s="58"/>
      <c r="K156" s="43"/>
      <c r="L156" s="45"/>
      <c r="M156" s="45"/>
      <c r="N156" s="46"/>
      <c r="O156" s="55"/>
      <c r="P156" s="45"/>
      <c r="Q156" s="55"/>
      <c r="R156" s="58"/>
      <c r="S156" s="43"/>
      <c r="T156" s="45"/>
      <c r="U156" s="45"/>
      <c r="V156" s="45"/>
      <c r="W156" s="45"/>
      <c r="X156" s="46"/>
      <c r="Y156" s="55"/>
      <c r="Z156" s="43"/>
      <c r="AA156" s="46"/>
      <c r="AB156" s="146"/>
      <c r="AC156" s="45"/>
      <c r="AD156" s="45"/>
      <c r="AE156" s="43"/>
      <c r="AF156" s="45"/>
      <c r="AG156" s="45"/>
      <c r="AH156" s="101">
        <f t="shared" si="8"/>
        <v>0</v>
      </c>
    </row>
    <row r="157" spans="1:34" s="8" customFormat="1" ht="25.5" x14ac:dyDescent="0.2">
      <c r="A157" s="54" t="s">
        <v>128</v>
      </c>
      <c r="B157" s="43"/>
      <c r="C157" s="43"/>
      <c r="D157" s="43"/>
      <c r="E157" s="213"/>
      <c r="F157" s="43"/>
      <c r="G157" s="44"/>
      <c r="H157" s="45"/>
      <c r="I157" s="45"/>
      <c r="J157" s="58"/>
      <c r="K157" s="43"/>
      <c r="L157" s="45"/>
      <c r="M157" s="45"/>
      <c r="N157" s="46"/>
      <c r="O157" s="55"/>
      <c r="P157" s="45"/>
      <c r="Q157" s="55"/>
      <c r="R157" s="58"/>
      <c r="S157" s="43"/>
      <c r="T157" s="45"/>
      <c r="U157" s="45"/>
      <c r="V157" s="45"/>
      <c r="W157" s="45"/>
      <c r="X157" s="46"/>
      <c r="Y157" s="55"/>
      <c r="Z157" s="43"/>
      <c r="AA157" s="46"/>
      <c r="AB157" s="146"/>
      <c r="AC157" s="45"/>
      <c r="AD157" s="45"/>
      <c r="AE157" s="43"/>
      <c r="AF157" s="45"/>
      <c r="AG157" s="45"/>
      <c r="AH157" s="101">
        <f t="shared" si="8"/>
        <v>0</v>
      </c>
    </row>
    <row r="158" spans="1:34" s="8" customFormat="1" x14ac:dyDescent="0.2">
      <c r="A158" s="50" t="s">
        <v>129</v>
      </c>
      <c r="B158" s="43"/>
      <c r="C158" s="43"/>
      <c r="D158" s="43">
        <v>0</v>
      </c>
      <c r="E158" s="213"/>
      <c r="F158" s="43"/>
      <c r="G158" s="44"/>
      <c r="H158" s="45"/>
      <c r="I158" s="45"/>
      <c r="J158" s="58"/>
      <c r="K158" s="43"/>
      <c r="L158" s="45"/>
      <c r="M158" s="45"/>
      <c r="N158" s="46"/>
      <c r="O158" s="55"/>
      <c r="P158" s="45"/>
      <c r="Q158" s="55"/>
      <c r="R158" s="58"/>
      <c r="S158" s="43"/>
      <c r="T158" s="45"/>
      <c r="U158" s="45"/>
      <c r="V158" s="45"/>
      <c r="W158" s="45"/>
      <c r="X158" s="46"/>
      <c r="Y158" s="55"/>
      <c r="Z158" s="43"/>
      <c r="AA158" s="46"/>
      <c r="AB158" s="146"/>
      <c r="AC158" s="45"/>
      <c r="AD158" s="45"/>
      <c r="AE158" s="43"/>
      <c r="AF158" s="45"/>
      <c r="AG158" s="45"/>
      <c r="AH158" s="101">
        <f t="shared" si="8"/>
        <v>0</v>
      </c>
    </row>
    <row r="159" spans="1:34" s="8" customFormat="1" x14ac:dyDescent="0.2">
      <c r="A159" s="50" t="s">
        <v>130</v>
      </c>
      <c r="B159" s="43"/>
      <c r="C159" s="43"/>
      <c r="D159" s="43">
        <v>24827.701499999999</v>
      </c>
      <c r="E159" s="213">
        <v>24827.701499999999</v>
      </c>
      <c r="F159" s="43"/>
      <c r="G159" s="44"/>
      <c r="H159" s="45"/>
      <c r="I159" s="45"/>
      <c r="J159" s="58"/>
      <c r="K159" s="43"/>
      <c r="L159" s="45"/>
      <c r="M159" s="45"/>
      <c r="N159" s="46"/>
      <c r="O159" s="55"/>
      <c r="P159" s="45"/>
      <c r="Q159" s="55"/>
      <c r="R159" s="58"/>
      <c r="S159" s="43"/>
      <c r="T159" s="45"/>
      <c r="U159" s="45"/>
      <c r="V159" s="45"/>
      <c r="W159" s="45"/>
      <c r="X159" s="46"/>
      <c r="Y159" s="55"/>
      <c r="Z159" s="43"/>
      <c r="AA159" s="46"/>
      <c r="AB159" s="146"/>
      <c r="AC159" s="45"/>
      <c r="AD159" s="45"/>
      <c r="AE159" s="43"/>
      <c r="AF159" s="45"/>
      <c r="AG159" s="45"/>
      <c r="AH159" s="101">
        <f t="shared" si="8"/>
        <v>0</v>
      </c>
    </row>
    <row r="160" spans="1:34" s="8" customFormat="1" x14ac:dyDescent="0.2">
      <c r="A160" s="50" t="s">
        <v>131</v>
      </c>
      <c r="B160" s="43"/>
      <c r="C160" s="43"/>
      <c r="D160" s="43">
        <v>27000</v>
      </c>
      <c r="E160" s="213"/>
      <c r="F160" s="43"/>
      <c r="G160" s="44"/>
      <c r="H160" s="45"/>
      <c r="I160" s="45"/>
      <c r="J160" s="58">
        <v>27000</v>
      </c>
      <c r="K160" s="43"/>
      <c r="L160" s="45"/>
      <c r="M160" s="45"/>
      <c r="N160" s="46"/>
      <c r="O160" s="55"/>
      <c r="P160" s="45"/>
      <c r="Q160" s="55"/>
      <c r="R160" s="58"/>
      <c r="S160" s="43"/>
      <c r="T160" s="45"/>
      <c r="U160" s="45"/>
      <c r="V160" s="45"/>
      <c r="W160" s="45"/>
      <c r="X160" s="46"/>
      <c r="Y160" s="55"/>
      <c r="Z160" s="43"/>
      <c r="AA160" s="46"/>
      <c r="AB160" s="146"/>
      <c r="AC160" s="45"/>
      <c r="AD160" s="45"/>
      <c r="AE160" s="43"/>
      <c r="AF160" s="45"/>
      <c r="AG160" s="45"/>
      <c r="AH160" s="101">
        <f t="shared" si="8"/>
        <v>0</v>
      </c>
    </row>
    <row r="161" spans="1:34" s="8" customFormat="1" x14ac:dyDescent="0.2">
      <c r="A161" s="50" t="s">
        <v>132</v>
      </c>
      <c r="B161" s="43"/>
      <c r="C161" s="43">
        <v>24350.584500000001</v>
      </c>
      <c r="D161" s="43">
        <v>0</v>
      </c>
      <c r="E161" s="213">
        <v>24350.584500000001</v>
      </c>
      <c r="F161" s="43"/>
      <c r="G161" s="44"/>
      <c r="H161" s="45"/>
      <c r="I161" s="45"/>
      <c r="J161" s="58"/>
      <c r="K161" s="43"/>
      <c r="L161" s="45"/>
      <c r="M161" s="45"/>
      <c r="N161" s="46"/>
      <c r="O161" s="55"/>
      <c r="P161" s="45"/>
      <c r="Q161" s="55"/>
      <c r="R161" s="58"/>
      <c r="S161" s="43"/>
      <c r="T161" s="45"/>
      <c r="U161" s="45"/>
      <c r="V161" s="45"/>
      <c r="W161" s="45"/>
      <c r="X161" s="46"/>
      <c r="Y161" s="55"/>
      <c r="Z161" s="43"/>
      <c r="AA161" s="46"/>
      <c r="AB161" s="146"/>
      <c r="AC161" s="45"/>
      <c r="AD161" s="45"/>
      <c r="AE161" s="43"/>
      <c r="AF161" s="45"/>
      <c r="AG161" s="45"/>
      <c r="AH161" s="101">
        <f t="shared" si="8"/>
        <v>0</v>
      </c>
    </row>
    <row r="162" spans="1:34" s="8" customFormat="1" x14ac:dyDescent="0.2">
      <c r="A162" s="50" t="s">
        <v>133</v>
      </c>
      <c r="B162" s="43"/>
      <c r="C162" s="43"/>
      <c r="D162" s="43">
        <v>10219.720499999999</v>
      </c>
      <c r="E162" s="213"/>
      <c r="F162" s="43"/>
      <c r="G162" s="44"/>
      <c r="H162" s="45"/>
      <c r="I162" s="45"/>
      <c r="J162" s="58">
        <f>10351-131.17</f>
        <v>10219.83</v>
      </c>
      <c r="K162" s="43"/>
      <c r="L162" s="45"/>
      <c r="M162" s="45"/>
      <c r="N162" s="46"/>
      <c r="O162" s="55"/>
      <c r="P162" s="45"/>
      <c r="Q162" s="55"/>
      <c r="R162" s="58"/>
      <c r="S162" s="43"/>
      <c r="T162" s="45"/>
      <c r="U162" s="45"/>
      <c r="V162" s="45"/>
      <c r="W162" s="45"/>
      <c r="X162" s="46"/>
      <c r="Y162" s="55"/>
      <c r="Z162" s="43"/>
      <c r="AA162" s="46"/>
      <c r="AB162" s="146"/>
      <c r="AC162" s="45"/>
      <c r="AD162" s="45"/>
      <c r="AE162" s="43"/>
      <c r="AF162" s="45"/>
      <c r="AG162" s="45"/>
      <c r="AH162" s="101">
        <f t="shared" si="8"/>
        <v>-0.10950000000048021</v>
      </c>
    </row>
    <row r="163" spans="1:34" s="8" customFormat="1" x14ac:dyDescent="0.2">
      <c r="A163" s="50" t="s">
        <v>134</v>
      </c>
      <c r="B163" s="43"/>
      <c r="C163" s="43"/>
      <c r="D163" s="43">
        <v>0</v>
      </c>
      <c r="E163" s="213"/>
      <c r="F163" s="43"/>
      <c r="G163" s="44"/>
      <c r="H163" s="45"/>
      <c r="I163" s="45">
        <v>20169</v>
      </c>
      <c r="J163" s="58">
        <v>20169</v>
      </c>
      <c r="K163" s="43"/>
      <c r="L163" s="45"/>
      <c r="M163" s="45"/>
      <c r="N163" s="46"/>
      <c r="O163" s="55"/>
      <c r="P163" s="45"/>
      <c r="Q163" s="55"/>
      <c r="R163" s="58"/>
      <c r="S163" s="43"/>
      <c r="T163" s="45"/>
      <c r="U163" s="45"/>
      <c r="V163" s="45"/>
      <c r="W163" s="45"/>
      <c r="X163" s="46"/>
      <c r="Y163" s="55"/>
      <c r="Z163" s="43"/>
      <c r="AA163" s="46"/>
      <c r="AB163" s="146"/>
      <c r="AC163" s="45"/>
      <c r="AD163" s="45"/>
      <c r="AE163" s="43"/>
      <c r="AF163" s="45"/>
      <c r="AG163" s="45"/>
      <c r="AH163" s="101">
        <f t="shared" si="8"/>
        <v>0</v>
      </c>
    </row>
    <row r="164" spans="1:34" s="8" customFormat="1" ht="38.25" x14ac:dyDescent="0.2">
      <c r="A164" s="54" t="s">
        <v>135</v>
      </c>
      <c r="B164" s="43"/>
      <c r="C164" s="43"/>
      <c r="D164" s="43"/>
      <c r="E164" s="213"/>
      <c r="F164" s="43"/>
      <c r="G164" s="44"/>
      <c r="H164" s="45"/>
      <c r="I164" s="45"/>
      <c r="J164" s="58"/>
      <c r="K164" s="43"/>
      <c r="L164" s="45"/>
      <c r="M164" s="45"/>
      <c r="N164" s="46"/>
      <c r="O164" s="55"/>
      <c r="P164" s="45"/>
      <c r="Q164" s="55"/>
      <c r="R164" s="58"/>
      <c r="S164" s="43"/>
      <c r="T164" s="45"/>
      <c r="U164" s="45"/>
      <c r="V164" s="45"/>
      <c r="W164" s="45"/>
      <c r="X164" s="46"/>
      <c r="Y164" s="55"/>
      <c r="Z164" s="43"/>
      <c r="AA164" s="46"/>
      <c r="AB164" s="146"/>
      <c r="AC164" s="45"/>
      <c r="AD164" s="45"/>
      <c r="AE164" s="43"/>
      <c r="AF164" s="45"/>
      <c r="AG164" s="45"/>
      <c r="AH164" s="101">
        <f t="shared" si="8"/>
        <v>0</v>
      </c>
    </row>
    <row r="165" spans="1:34" s="8" customFormat="1" x14ac:dyDescent="0.2">
      <c r="A165" s="50" t="s">
        <v>130</v>
      </c>
      <c r="B165" s="43"/>
      <c r="C165" s="43"/>
      <c r="D165" s="43">
        <v>2471.8014000000003</v>
      </c>
      <c r="E165" s="213"/>
      <c r="F165" s="43"/>
      <c r="G165" s="44"/>
      <c r="H165" s="45"/>
      <c r="I165" s="45">
        <v>0</v>
      </c>
      <c r="J165" s="58">
        <v>2471.8013999999998</v>
      </c>
      <c r="K165" s="43"/>
      <c r="L165" s="45"/>
      <c r="M165" s="45"/>
      <c r="N165" s="46"/>
      <c r="O165" s="55"/>
      <c r="P165" s="45"/>
      <c r="Q165" s="55"/>
      <c r="R165" s="58"/>
      <c r="S165" s="43"/>
      <c r="T165" s="45"/>
      <c r="U165" s="45"/>
      <c r="V165" s="45"/>
      <c r="W165" s="45"/>
      <c r="X165" s="46"/>
      <c r="Y165" s="55"/>
      <c r="Z165" s="43"/>
      <c r="AA165" s="46"/>
      <c r="AB165" s="146"/>
      <c r="AC165" s="45"/>
      <c r="AD165" s="45"/>
      <c r="AE165" s="43"/>
      <c r="AF165" s="45"/>
      <c r="AG165" s="45"/>
      <c r="AH165" s="101">
        <f t="shared" si="8"/>
        <v>4.5474735088646412E-13</v>
      </c>
    </row>
    <row r="166" spans="1:34" s="8" customFormat="1" x14ac:dyDescent="0.2">
      <c r="A166" s="50" t="s">
        <v>131</v>
      </c>
      <c r="B166" s="43"/>
      <c r="C166" s="43"/>
      <c r="D166" s="43">
        <v>5671.7503100000004</v>
      </c>
      <c r="E166" s="213"/>
      <c r="F166" s="43"/>
      <c r="G166" s="44"/>
      <c r="H166" s="45"/>
      <c r="I166" s="45">
        <v>0</v>
      </c>
      <c r="J166" s="58">
        <v>5671.7503100000004</v>
      </c>
      <c r="K166" s="43"/>
      <c r="L166" s="45"/>
      <c r="M166" s="45"/>
      <c r="N166" s="46"/>
      <c r="O166" s="55"/>
      <c r="P166" s="45"/>
      <c r="Q166" s="55"/>
      <c r="R166" s="58"/>
      <c r="S166" s="43"/>
      <c r="T166" s="45"/>
      <c r="U166" s="45"/>
      <c r="V166" s="45"/>
      <c r="W166" s="45"/>
      <c r="X166" s="46"/>
      <c r="Y166" s="55"/>
      <c r="Z166" s="43"/>
      <c r="AA166" s="46"/>
      <c r="AB166" s="146"/>
      <c r="AC166" s="45"/>
      <c r="AD166" s="45"/>
      <c r="AE166" s="43"/>
      <c r="AF166" s="45"/>
      <c r="AG166" s="45"/>
      <c r="AH166" s="101">
        <f t="shared" si="8"/>
        <v>0</v>
      </c>
    </row>
    <row r="167" spans="1:34" s="8" customFormat="1" x14ac:dyDescent="0.2">
      <c r="A167" s="50" t="s">
        <v>132</v>
      </c>
      <c r="B167" s="43"/>
      <c r="C167" s="43"/>
      <c r="D167" s="43">
        <v>6694.4742200000001</v>
      </c>
      <c r="E167" s="213">
        <v>1111.8689999999999</v>
      </c>
      <c r="F167" s="43"/>
      <c r="G167" s="44"/>
      <c r="H167" s="45"/>
      <c r="I167" s="45">
        <v>0</v>
      </c>
      <c r="J167" s="58">
        <v>5582.6052200000004</v>
      </c>
      <c r="K167" s="43"/>
      <c r="L167" s="45"/>
      <c r="M167" s="45"/>
      <c r="N167" s="46"/>
      <c r="O167" s="55"/>
      <c r="P167" s="45"/>
      <c r="Q167" s="55"/>
      <c r="R167" s="58"/>
      <c r="S167" s="43"/>
      <c r="T167" s="45"/>
      <c r="U167" s="45"/>
      <c r="V167" s="45"/>
      <c r="W167" s="45"/>
      <c r="X167" s="46"/>
      <c r="Y167" s="55"/>
      <c r="Z167" s="43"/>
      <c r="AA167" s="46"/>
      <c r="AB167" s="146"/>
      <c r="AC167" s="45"/>
      <c r="AD167" s="45"/>
      <c r="AE167" s="43"/>
      <c r="AF167" s="45"/>
      <c r="AG167" s="45"/>
      <c r="AH167" s="101">
        <f t="shared" si="8"/>
        <v>0</v>
      </c>
    </row>
    <row r="168" spans="1:34" s="8" customFormat="1" x14ac:dyDescent="0.2">
      <c r="A168" s="50" t="s">
        <v>133</v>
      </c>
      <c r="B168" s="43"/>
      <c r="C168" s="43"/>
      <c r="D168" s="43">
        <v>59.442999999999998</v>
      </c>
      <c r="E168" s="213"/>
      <c r="F168" s="43"/>
      <c r="G168" s="44"/>
      <c r="H168" s="45"/>
      <c r="I168" s="45">
        <v>3635.3399999999992</v>
      </c>
      <c r="J168" s="58">
        <v>3694.7749899999999</v>
      </c>
      <c r="K168" s="43"/>
      <c r="L168" s="45"/>
      <c r="M168" s="45"/>
      <c r="N168" s="46"/>
      <c r="O168" s="55"/>
      <c r="P168" s="45"/>
      <c r="Q168" s="55"/>
      <c r="R168" s="58"/>
      <c r="S168" s="43"/>
      <c r="T168" s="45"/>
      <c r="U168" s="45"/>
      <c r="V168" s="45"/>
      <c r="W168" s="45"/>
      <c r="X168" s="46"/>
      <c r="Y168" s="55"/>
      <c r="Z168" s="43"/>
      <c r="AA168" s="46"/>
      <c r="AB168" s="146"/>
      <c r="AC168" s="45"/>
      <c r="AD168" s="45"/>
      <c r="AE168" s="43"/>
      <c r="AF168" s="45"/>
      <c r="AG168" s="45"/>
      <c r="AH168" s="101">
        <f t="shared" si="8"/>
        <v>8.0099999995582039E-3</v>
      </c>
    </row>
    <row r="169" spans="1:34" s="8" customFormat="1" x14ac:dyDescent="0.2">
      <c r="A169" s="50" t="s">
        <v>134</v>
      </c>
      <c r="B169" s="43"/>
      <c r="C169" s="43"/>
      <c r="D169" s="43">
        <v>0</v>
      </c>
      <c r="E169" s="213"/>
      <c r="F169" s="43"/>
      <c r="G169" s="44"/>
      <c r="H169" s="45"/>
      <c r="I169" s="45">
        <v>5646.56</v>
      </c>
      <c r="J169" s="58">
        <v>5646.5445</v>
      </c>
      <c r="K169" s="43"/>
      <c r="L169" s="45"/>
      <c r="M169" s="45"/>
      <c r="N169" s="46"/>
      <c r="O169" s="55"/>
      <c r="P169" s="45"/>
      <c r="Q169" s="55"/>
      <c r="R169" s="58"/>
      <c r="S169" s="43"/>
      <c r="T169" s="45"/>
      <c r="U169" s="45"/>
      <c r="V169" s="45"/>
      <c r="W169" s="45"/>
      <c r="X169" s="46"/>
      <c r="Y169" s="55"/>
      <c r="Z169" s="43"/>
      <c r="AA169" s="46"/>
      <c r="AB169" s="146"/>
      <c r="AC169" s="45"/>
      <c r="AD169" s="45"/>
      <c r="AE169" s="43"/>
      <c r="AF169" s="45"/>
      <c r="AG169" s="45"/>
      <c r="AH169" s="101">
        <f t="shared" si="8"/>
        <v>1.5500000000429281E-2</v>
      </c>
    </row>
    <row r="170" spans="1:34" s="8" customFormat="1" ht="25.5" x14ac:dyDescent="0.2">
      <c r="A170" s="53" t="s">
        <v>136</v>
      </c>
      <c r="B170" s="43"/>
      <c r="C170" s="43"/>
      <c r="D170" s="43">
        <v>13583.414140000001</v>
      </c>
      <c r="E170" s="213"/>
      <c r="F170" s="43"/>
      <c r="G170" s="44"/>
      <c r="H170" s="45"/>
      <c r="I170" s="45">
        <f>3516.58-3516.58</f>
        <v>0</v>
      </c>
      <c r="J170" s="58">
        <f>17100-3516.58</f>
        <v>13583.42</v>
      </c>
      <c r="K170" s="43"/>
      <c r="L170" s="45"/>
      <c r="M170" s="45"/>
      <c r="N170" s="46"/>
      <c r="O170" s="55"/>
      <c r="P170" s="45"/>
      <c r="Q170" s="55"/>
      <c r="R170" s="58"/>
      <c r="S170" s="43"/>
      <c r="T170" s="45"/>
      <c r="U170" s="45"/>
      <c r="V170" s="45"/>
      <c r="W170" s="45"/>
      <c r="X170" s="46"/>
      <c r="Y170" s="55"/>
      <c r="Z170" s="43"/>
      <c r="AA170" s="46"/>
      <c r="AB170" s="146"/>
      <c r="AC170" s="45"/>
      <c r="AD170" s="45"/>
      <c r="AE170" s="43"/>
      <c r="AF170" s="45"/>
      <c r="AG170" s="45"/>
      <c r="AH170" s="101">
        <f t="shared" si="8"/>
        <v>-5.8599999993020901E-3</v>
      </c>
    </row>
    <row r="171" spans="1:34" s="8" customFormat="1" ht="25.5" x14ac:dyDescent="0.2">
      <c r="A171" s="53" t="s">
        <v>153</v>
      </c>
      <c r="B171" s="43"/>
      <c r="C171" s="43"/>
      <c r="D171" s="43"/>
      <c r="E171" s="213"/>
      <c r="F171" s="43"/>
      <c r="G171" s="44"/>
      <c r="H171" s="45"/>
      <c r="I171" s="45">
        <v>5053.58</v>
      </c>
      <c r="J171" s="58"/>
      <c r="K171" s="43"/>
      <c r="L171" s="45"/>
      <c r="M171" s="45"/>
      <c r="N171" s="46">
        <v>5053.5730000000003</v>
      </c>
      <c r="O171" s="55"/>
      <c r="P171" s="45"/>
      <c r="Q171" s="55"/>
      <c r="R171" s="58"/>
      <c r="S171" s="43"/>
      <c r="T171" s="45"/>
      <c r="U171" s="45"/>
      <c r="V171" s="45"/>
      <c r="W171" s="45"/>
      <c r="X171" s="46"/>
      <c r="Y171" s="55"/>
      <c r="Z171" s="43"/>
      <c r="AA171" s="46"/>
      <c r="AB171" s="146"/>
      <c r="AC171" s="45"/>
      <c r="AD171" s="45"/>
      <c r="AE171" s="43"/>
      <c r="AF171" s="45"/>
      <c r="AG171" s="45"/>
      <c r="AH171" s="101">
        <f t="shared" si="8"/>
        <v>6.9999999996070983E-3</v>
      </c>
    </row>
    <row r="172" spans="1:34" s="8" customFormat="1" ht="25.5" x14ac:dyDescent="0.2">
      <c r="A172" s="53" t="s">
        <v>154</v>
      </c>
      <c r="B172" s="43"/>
      <c r="C172" s="43"/>
      <c r="D172" s="43"/>
      <c r="E172" s="213"/>
      <c r="F172" s="43"/>
      <c r="G172" s="44"/>
      <c r="H172" s="45"/>
      <c r="I172" s="45">
        <v>5071.6099999999997</v>
      </c>
      <c r="J172" s="58"/>
      <c r="K172" s="43"/>
      <c r="L172" s="45"/>
      <c r="M172" s="45"/>
      <c r="N172" s="46">
        <v>5071.6019999999999</v>
      </c>
      <c r="O172" s="55"/>
      <c r="P172" s="45"/>
      <c r="Q172" s="55"/>
      <c r="R172" s="58"/>
      <c r="S172" s="43"/>
      <c r="T172" s="45"/>
      <c r="U172" s="45"/>
      <c r="V172" s="45"/>
      <c r="W172" s="45"/>
      <c r="X172" s="46"/>
      <c r="Y172" s="55"/>
      <c r="Z172" s="43"/>
      <c r="AA172" s="46"/>
      <c r="AB172" s="146"/>
      <c r="AC172" s="45"/>
      <c r="AD172" s="45"/>
      <c r="AE172" s="43"/>
      <c r="AF172" s="45"/>
      <c r="AG172" s="45"/>
      <c r="AH172" s="101">
        <f t="shared" si="8"/>
        <v>7.9999999998108251E-3</v>
      </c>
    </row>
    <row r="173" spans="1:34" s="8" customFormat="1" ht="47.25" customHeight="1" x14ac:dyDescent="0.2">
      <c r="A173" s="53" t="s">
        <v>198</v>
      </c>
      <c r="B173" s="43"/>
      <c r="C173" s="43"/>
      <c r="D173" s="43"/>
      <c r="E173" s="213"/>
      <c r="F173" s="43"/>
      <c r="G173" s="45"/>
      <c r="H173" s="45"/>
      <c r="I173" s="45"/>
      <c r="J173" s="58"/>
      <c r="K173" s="43"/>
      <c r="L173" s="45">
        <v>18821</v>
      </c>
      <c r="M173" s="45"/>
      <c r="N173" s="46"/>
      <c r="O173" s="55"/>
      <c r="P173" s="45"/>
      <c r="Q173" s="55"/>
      <c r="R173" s="58"/>
      <c r="S173" s="43"/>
      <c r="T173" s="45"/>
      <c r="U173" s="45"/>
      <c r="V173" s="45"/>
      <c r="W173" s="45"/>
      <c r="X173" s="46"/>
      <c r="Y173" s="55"/>
      <c r="Z173" s="43"/>
      <c r="AA173" s="46"/>
      <c r="AB173" s="146"/>
      <c r="AC173" s="45"/>
      <c r="AD173" s="45"/>
      <c r="AE173" s="43"/>
      <c r="AF173" s="45"/>
      <c r="AG173" s="45"/>
      <c r="AH173" s="101">
        <f t="shared" si="8"/>
        <v>0</v>
      </c>
    </row>
    <row r="174" spans="1:34" s="8" customFormat="1" ht="47.25" customHeight="1" x14ac:dyDescent="0.2">
      <c r="A174" s="53" t="s">
        <v>199</v>
      </c>
      <c r="B174" s="43"/>
      <c r="C174" s="43"/>
      <c r="D174" s="43"/>
      <c r="E174" s="213"/>
      <c r="F174" s="43"/>
      <c r="G174" s="45"/>
      <c r="H174" s="45"/>
      <c r="I174" s="45"/>
      <c r="J174" s="58"/>
      <c r="K174" s="43"/>
      <c r="L174" s="45">
        <v>14319</v>
      </c>
      <c r="M174" s="45"/>
      <c r="N174" s="46"/>
      <c r="O174" s="55"/>
      <c r="P174" s="45"/>
      <c r="Q174" s="55"/>
      <c r="R174" s="58"/>
      <c r="S174" s="43"/>
      <c r="T174" s="45"/>
      <c r="U174" s="45"/>
      <c r="V174" s="45"/>
      <c r="W174" s="45"/>
      <c r="X174" s="46"/>
      <c r="Y174" s="55"/>
      <c r="Z174" s="43"/>
      <c r="AA174" s="46"/>
      <c r="AB174" s="146"/>
      <c r="AC174" s="45"/>
      <c r="AD174" s="45"/>
      <c r="AE174" s="43"/>
      <c r="AF174" s="45"/>
      <c r="AG174" s="45"/>
      <c r="AH174" s="101">
        <f t="shared" si="8"/>
        <v>0</v>
      </c>
    </row>
    <row r="175" spans="1:34" s="8" customFormat="1" ht="47.25" customHeight="1" x14ac:dyDescent="0.2">
      <c r="A175" s="53" t="s">
        <v>200</v>
      </c>
      <c r="B175" s="43"/>
      <c r="C175" s="43"/>
      <c r="D175" s="43"/>
      <c r="E175" s="213"/>
      <c r="F175" s="43"/>
      <c r="G175" s="45"/>
      <c r="H175" s="45"/>
      <c r="I175" s="45"/>
      <c r="J175" s="58"/>
      <c r="K175" s="43"/>
      <c r="L175" s="45">
        <v>7079</v>
      </c>
      <c r="M175" s="45"/>
      <c r="N175" s="46"/>
      <c r="O175" s="55"/>
      <c r="P175" s="45"/>
      <c r="Q175" s="55"/>
      <c r="R175" s="58"/>
      <c r="S175" s="43"/>
      <c r="T175" s="45"/>
      <c r="U175" s="45"/>
      <c r="V175" s="45"/>
      <c r="W175" s="45"/>
      <c r="X175" s="46"/>
      <c r="Y175" s="55"/>
      <c r="Z175" s="43"/>
      <c r="AA175" s="46"/>
      <c r="AB175" s="146"/>
      <c r="AC175" s="45"/>
      <c r="AD175" s="45"/>
      <c r="AE175" s="43"/>
      <c r="AF175" s="45"/>
      <c r="AG175" s="45"/>
      <c r="AH175" s="101">
        <f t="shared" si="8"/>
        <v>0</v>
      </c>
    </row>
    <row r="176" spans="1:34" s="8" customFormat="1" ht="47.25" customHeight="1" x14ac:dyDescent="0.2">
      <c r="A176" s="53" t="s">
        <v>162</v>
      </c>
      <c r="B176" s="43"/>
      <c r="C176" s="43"/>
      <c r="D176" s="43"/>
      <c r="E176" s="213"/>
      <c r="F176" s="43"/>
      <c r="G176" s="45"/>
      <c r="H176" s="45"/>
      <c r="I176" s="45"/>
      <c r="J176" s="58"/>
      <c r="K176" s="43"/>
      <c r="L176" s="45">
        <v>2898.03</v>
      </c>
      <c r="M176" s="45">
        <v>2307.08</v>
      </c>
      <c r="N176" s="46"/>
      <c r="O176" s="55"/>
      <c r="P176" s="45"/>
      <c r="Q176" s="55"/>
      <c r="R176" s="58">
        <v>2307.08</v>
      </c>
      <c r="S176" s="43"/>
      <c r="T176" s="45"/>
      <c r="U176" s="45"/>
      <c r="V176" s="45"/>
      <c r="W176" s="45"/>
      <c r="X176" s="46"/>
      <c r="Y176" s="55"/>
      <c r="Z176" s="43"/>
      <c r="AA176" s="46"/>
      <c r="AB176" s="146"/>
      <c r="AC176" s="45"/>
      <c r="AD176" s="45"/>
      <c r="AE176" s="43"/>
      <c r="AF176" s="45"/>
      <c r="AG176" s="45"/>
      <c r="AH176" s="101">
        <f t="shared" si="8"/>
        <v>0</v>
      </c>
    </row>
    <row r="177" spans="1:34" s="8" customFormat="1" ht="42.75" customHeight="1" x14ac:dyDescent="0.2">
      <c r="A177" s="53" t="s">
        <v>163</v>
      </c>
      <c r="B177" s="43"/>
      <c r="C177" s="43"/>
      <c r="D177" s="43"/>
      <c r="E177" s="213"/>
      <c r="F177" s="43"/>
      <c r="G177" s="45"/>
      <c r="H177" s="45"/>
      <c r="I177" s="45"/>
      <c r="J177" s="58"/>
      <c r="K177" s="43"/>
      <c r="L177" s="45">
        <v>19623.91</v>
      </c>
      <c r="M177" s="45">
        <v>19490.73</v>
      </c>
      <c r="N177" s="46"/>
      <c r="O177" s="55"/>
      <c r="P177" s="45"/>
      <c r="Q177" s="55"/>
      <c r="R177" s="58">
        <v>19490.73</v>
      </c>
      <c r="S177" s="43"/>
      <c r="T177" s="45"/>
      <c r="U177" s="45"/>
      <c r="V177" s="45"/>
      <c r="W177" s="45"/>
      <c r="X177" s="46"/>
      <c r="Y177" s="55"/>
      <c r="Z177" s="43"/>
      <c r="AA177" s="46"/>
      <c r="AB177" s="146"/>
      <c r="AC177" s="45"/>
      <c r="AD177" s="45"/>
      <c r="AE177" s="43"/>
      <c r="AF177" s="45"/>
      <c r="AG177" s="45"/>
      <c r="AH177" s="101">
        <f t="shared" si="8"/>
        <v>0</v>
      </c>
    </row>
    <row r="178" spans="1:34" s="8" customFormat="1" ht="42.75" customHeight="1" x14ac:dyDescent="0.2">
      <c r="A178" s="53" t="s">
        <v>164</v>
      </c>
      <c r="B178" s="43"/>
      <c r="C178" s="43"/>
      <c r="D178" s="43"/>
      <c r="E178" s="213"/>
      <c r="F178" s="43"/>
      <c r="G178" s="45"/>
      <c r="H178" s="45"/>
      <c r="I178" s="45"/>
      <c r="J178" s="58"/>
      <c r="K178" s="43"/>
      <c r="L178" s="45">
        <v>7371.15</v>
      </c>
      <c r="M178" s="45">
        <v>3969.08</v>
      </c>
      <c r="N178" s="46"/>
      <c r="O178" s="55"/>
      <c r="P178" s="45"/>
      <c r="Q178" s="55"/>
      <c r="R178" s="58">
        <v>3969.08</v>
      </c>
      <c r="S178" s="43"/>
      <c r="T178" s="45"/>
      <c r="U178" s="45"/>
      <c r="V178" s="45"/>
      <c r="W178" s="45"/>
      <c r="X178" s="46"/>
      <c r="Y178" s="55"/>
      <c r="Z178" s="43"/>
      <c r="AA178" s="46"/>
      <c r="AB178" s="146"/>
      <c r="AC178" s="45"/>
      <c r="AD178" s="45"/>
      <c r="AE178" s="43"/>
      <c r="AF178" s="45"/>
      <c r="AG178" s="45"/>
      <c r="AH178" s="101">
        <f t="shared" si="8"/>
        <v>0</v>
      </c>
    </row>
    <row r="179" spans="1:34" s="8" customFormat="1" x14ac:dyDescent="0.2">
      <c r="A179" s="182" t="s">
        <v>138</v>
      </c>
      <c r="B179" s="183">
        <f t="shared" ref="B179:N179" si="19">SUM(B145:B178)</f>
        <v>0</v>
      </c>
      <c r="C179" s="183">
        <f t="shared" si="19"/>
        <v>24350.584500000001</v>
      </c>
      <c r="D179" s="183">
        <f t="shared" si="19"/>
        <v>148609.02007999999</v>
      </c>
      <c r="E179" s="187">
        <f t="shared" si="19"/>
        <v>50290.154999999999</v>
      </c>
      <c r="F179" s="199">
        <f t="shared" si="19"/>
        <v>0</v>
      </c>
      <c r="G179" s="191">
        <f t="shared" si="19"/>
        <v>0</v>
      </c>
      <c r="H179" s="191">
        <f t="shared" si="19"/>
        <v>0</v>
      </c>
      <c r="I179" s="191">
        <f t="shared" si="19"/>
        <v>98185.63</v>
      </c>
      <c r="J179" s="218">
        <f t="shared" si="19"/>
        <v>158238.72642000002</v>
      </c>
      <c r="K179" s="199">
        <f t="shared" si="19"/>
        <v>0</v>
      </c>
      <c r="L179" s="191">
        <f t="shared" si="19"/>
        <v>70112.09</v>
      </c>
      <c r="M179" s="191">
        <f t="shared" si="19"/>
        <v>25766.89</v>
      </c>
      <c r="N179" s="200">
        <f t="shared" si="19"/>
        <v>62662.595000000001</v>
      </c>
      <c r="O179" s="222"/>
      <c r="P179" s="191">
        <f t="shared" ref="P179:X179" si="20">SUM(P145:P178)</f>
        <v>0</v>
      </c>
      <c r="Q179" s="190">
        <f t="shared" si="20"/>
        <v>0</v>
      </c>
      <c r="R179" s="187">
        <f t="shared" si="20"/>
        <v>25766.89</v>
      </c>
      <c r="S179" s="199">
        <f t="shared" si="20"/>
        <v>0</v>
      </c>
      <c r="T179" s="191">
        <f t="shared" si="20"/>
        <v>0</v>
      </c>
      <c r="U179" s="191">
        <f t="shared" si="20"/>
        <v>0</v>
      </c>
      <c r="V179" s="191">
        <f t="shared" si="20"/>
        <v>0</v>
      </c>
      <c r="W179" s="191">
        <f t="shared" si="20"/>
        <v>0</v>
      </c>
      <c r="X179" s="200">
        <f t="shared" si="20"/>
        <v>0</v>
      </c>
      <c r="Y179" s="190"/>
      <c r="Z179" s="183">
        <f t="shared" ref="Z179:AG179" si="21">SUM(Z145:Z178)</f>
        <v>0</v>
      </c>
      <c r="AA179" s="183">
        <f t="shared" si="21"/>
        <v>0</v>
      </c>
      <c r="AB179" s="183">
        <f t="shared" si="21"/>
        <v>0</v>
      </c>
      <c r="AC179" s="183">
        <f t="shared" si="21"/>
        <v>0</v>
      </c>
      <c r="AD179" s="183">
        <f t="shared" si="21"/>
        <v>0</v>
      </c>
      <c r="AE179" s="183">
        <f t="shared" si="21"/>
        <v>0</v>
      </c>
      <c r="AF179" s="183">
        <f t="shared" si="21"/>
        <v>0</v>
      </c>
      <c r="AG179" s="183">
        <f t="shared" si="21"/>
        <v>0</v>
      </c>
      <c r="AH179" s="101">
        <f t="shared" si="8"/>
        <v>-46.241840000016964</v>
      </c>
    </row>
    <row r="180" spans="1:34" s="8" customFormat="1" x14ac:dyDescent="0.2">
      <c r="A180" s="2"/>
      <c r="B180" s="29"/>
      <c r="C180" s="29"/>
      <c r="D180" s="29"/>
      <c r="E180" s="29">
        <f>C179+D179-E179</f>
        <v>122669.44957999999</v>
      </c>
      <c r="F180" s="153"/>
      <c r="G180" s="144"/>
      <c r="H180" s="144"/>
      <c r="I180" s="144"/>
      <c r="J180" s="220">
        <f>E180+I179-J179</f>
        <v>62616.35315999997</v>
      </c>
      <c r="K180" s="153"/>
      <c r="L180" s="144"/>
      <c r="M180" s="144"/>
      <c r="N180" s="154">
        <f>J180+M179-N179</f>
        <v>25720.648159999968</v>
      </c>
      <c r="O180" s="3"/>
      <c r="P180" s="144"/>
      <c r="Q180" s="3"/>
      <c r="R180" s="3">
        <f>N180+Q179-R179</f>
        <v>-46.241840000031516</v>
      </c>
      <c r="S180" s="153"/>
      <c r="T180" s="144"/>
      <c r="U180" s="144"/>
      <c r="V180" s="144"/>
      <c r="W180" s="144"/>
      <c r="X180" s="154"/>
      <c r="Y180" s="3"/>
      <c r="Z180" s="153"/>
      <c r="AA180" s="154"/>
      <c r="AB180" s="164"/>
      <c r="AC180" s="144"/>
      <c r="AD180" s="144"/>
      <c r="AE180" s="153"/>
      <c r="AF180" s="144"/>
      <c r="AG180" s="144"/>
      <c r="AH180" s="101">
        <f t="shared" si="8"/>
        <v>-210960.20905999991</v>
      </c>
    </row>
    <row r="181" spans="1:34" s="8" customFormat="1" ht="13.5" thickBot="1" x14ac:dyDescent="0.25">
      <c r="A181" s="13" t="s">
        <v>6</v>
      </c>
      <c r="B181" s="48">
        <v>0</v>
      </c>
      <c r="C181" s="48">
        <v>484254.09123000002</v>
      </c>
      <c r="D181" s="48">
        <f t="shared" ref="D181:AG181" si="22">SUM(D179,D142,D140,D134,D131,D119,D68,D54,D37)</f>
        <v>460897.52007999999</v>
      </c>
      <c r="E181" s="48">
        <f t="shared" si="22"/>
        <v>382266.45500000002</v>
      </c>
      <c r="F181" s="209">
        <f t="shared" si="22"/>
        <v>199479.2</v>
      </c>
      <c r="G181" s="210">
        <f t="shared" si="22"/>
        <v>1028.5999999999999</v>
      </c>
      <c r="H181" s="210">
        <f t="shared" si="22"/>
        <v>590885.6399999999</v>
      </c>
      <c r="I181" s="210">
        <f t="shared" si="22"/>
        <v>509178.18000000005</v>
      </c>
      <c r="J181" s="221">
        <f t="shared" si="22"/>
        <v>634263.34642000007</v>
      </c>
      <c r="K181" s="209">
        <f t="shared" si="22"/>
        <v>22574</v>
      </c>
      <c r="L181" s="210">
        <f t="shared" si="22"/>
        <v>1252942.0899999999</v>
      </c>
      <c r="M181" s="210">
        <f t="shared" si="22"/>
        <v>1087405.47</v>
      </c>
      <c r="N181" s="211">
        <f t="shared" si="22"/>
        <v>526547.59499999997</v>
      </c>
      <c r="O181" s="223">
        <f t="shared" si="22"/>
        <v>99700</v>
      </c>
      <c r="P181" s="193">
        <f t="shared" si="22"/>
        <v>959852</v>
      </c>
      <c r="Q181" s="166">
        <f t="shared" si="22"/>
        <v>1295248</v>
      </c>
      <c r="R181" s="48">
        <f t="shared" si="22"/>
        <v>1366341.8900000001</v>
      </c>
      <c r="S181" s="209">
        <f t="shared" si="22"/>
        <v>75900</v>
      </c>
      <c r="T181" s="210">
        <f t="shared" si="22"/>
        <v>196320</v>
      </c>
      <c r="U181" s="210">
        <f t="shared" si="22"/>
        <v>0</v>
      </c>
      <c r="V181" s="210">
        <f t="shared" si="22"/>
        <v>1664315</v>
      </c>
      <c r="W181" s="210">
        <f t="shared" si="22"/>
        <v>923800</v>
      </c>
      <c r="X181" s="211">
        <f t="shared" si="22"/>
        <v>245400</v>
      </c>
      <c r="Y181" s="48">
        <f t="shared" si="22"/>
        <v>85200</v>
      </c>
      <c r="Z181" s="48">
        <f t="shared" si="22"/>
        <v>1809180</v>
      </c>
      <c r="AA181" s="173">
        <f t="shared" si="22"/>
        <v>1871065</v>
      </c>
      <c r="AB181" s="166">
        <f t="shared" si="22"/>
        <v>0</v>
      </c>
      <c r="AC181" s="48">
        <f t="shared" si="22"/>
        <v>1147600</v>
      </c>
      <c r="AD181" s="48">
        <f t="shared" si="22"/>
        <v>1493380</v>
      </c>
      <c r="AE181" s="48">
        <f t="shared" si="22"/>
        <v>0</v>
      </c>
      <c r="AF181" s="48">
        <f t="shared" si="22"/>
        <v>0</v>
      </c>
      <c r="AG181" s="48">
        <f t="shared" si="22"/>
        <v>1011250</v>
      </c>
      <c r="AH181" s="101">
        <f t="shared" si="8"/>
        <v>3763.9748899997212</v>
      </c>
    </row>
    <row r="182" spans="1:34" x14ac:dyDescent="0.2">
      <c r="Z182" s="10"/>
      <c r="AA182" s="10"/>
      <c r="AB182" s="155"/>
      <c r="AC182" s="10"/>
      <c r="AD182" s="10"/>
      <c r="AE182" s="155"/>
      <c r="AF182" s="10"/>
      <c r="AG182" s="10"/>
      <c r="AH182" s="101">
        <f t="shared" ref="AH182" si="23">C182+D182+I182+M182+Q182+U182-E182-J182-N182-R182-W182</f>
        <v>0</v>
      </c>
    </row>
    <row r="183" spans="1:34" s="8" customFormat="1" ht="25.5" x14ac:dyDescent="0.2">
      <c r="A183" s="230" t="s">
        <v>238</v>
      </c>
      <c r="B183" s="231"/>
      <c r="C183" s="231"/>
      <c r="D183" s="231"/>
      <c r="E183" s="232"/>
      <c r="F183" s="231"/>
      <c r="G183" s="233"/>
      <c r="H183" s="234"/>
      <c r="I183" s="235">
        <v>600</v>
      </c>
      <c r="J183" s="236"/>
      <c r="K183" s="231"/>
      <c r="L183" s="234"/>
      <c r="M183" s="235">
        <v>1410</v>
      </c>
      <c r="N183" s="237"/>
      <c r="O183" s="238"/>
      <c r="P183" s="234"/>
      <c r="Q183" s="239">
        <v>174</v>
      </c>
      <c r="R183" s="240">
        <v>1907.4323199999999</v>
      </c>
      <c r="S183" s="43"/>
      <c r="T183" s="45"/>
      <c r="U183" s="45"/>
      <c r="V183" s="45"/>
      <c r="W183" s="45"/>
      <c r="X183" s="46"/>
      <c r="Y183" s="55"/>
      <c r="Z183" s="43"/>
      <c r="AA183" s="46"/>
      <c r="AB183" s="146"/>
      <c r="AC183" s="45"/>
      <c r="AD183" s="45"/>
      <c r="AE183" s="43"/>
      <c r="AF183" s="45"/>
      <c r="AG183" s="45"/>
      <c r="AH183" s="101">
        <f>C183+D183+I183+M183+Q183+U183-E183-J183-N183-R183-W183</f>
        <v>276.56768000000011</v>
      </c>
    </row>
    <row r="184" spans="1:34" s="8" customFormat="1" ht="25.5" x14ac:dyDescent="0.2">
      <c r="A184" s="230" t="s">
        <v>239</v>
      </c>
      <c r="B184" s="231"/>
      <c r="C184" s="231"/>
      <c r="D184" s="231"/>
      <c r="E184" s="232"/>
      <c r="F184" s="231"/>
      <c r="G184" s="233"/>
      <c r="H184" s="234"/>
      <c r="I184" s="235">
        <v>600</v>
      </c>
      <c r="J184" s="236"/>
      <c r="K184" s="231"/>
      <c r="L184" s="234"/>
      <c r="M184" s="235">
        <v>1170</v>
      </c>
      <c r="N184" s="237"/>
      <c r="O184" s="238"/>
      <c r="P184" s="234"/>
      <c r="Q184" s="239">
        <v>138</v>
      </c>
      <c r="R184" s="240">
        <v>2183.8846899999999</v>
      </c>
      <c r="S184" s="43"/>
      <c r="T184" s="45"/>
      <c r="U184" s="45"/>
      <c r="V184" s="45"/>
      <c r="W184" s="45"/>
      <c r="X184" s="46"/>
      <c r="Y184" s="55"/>
      <c r="Z184" s="43"/>
      <c r="AA184" s="46"/>
      <c r="AB184" s="146"/>
      <c r="AC184" s="45"/>
      <c r="AD184" s="45"/>
      <c r="AE184" s="43"/>
      <c r="AF184" s="45"/>
      <c r="AG184" s="45"/>
      <c r="AH184" s="101">
        <f>C184+D184+I184+M184+Q184+U184-E184-J184-N184-R184-W184</f>
        <v>-275.88468999999986</v>
      </c>
    </row>
    <row r="185" spans="1:34" s="8" customFormat="1" x14ac:dyDescent="0.2">
      <c r="A185" s="4"/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01"/>
    </row>
    <row r="186" spans="1:34" s="14" customFormat="1" ht="13.5" thickBot="1" x14ac:dyDescent="0.25">
      <c r="A186" s="4"/>
      <c r="B186" s="174">
        <v>2019</v>
      </c>
      <c r="C186" s="174">
        <v>2020</v>
      </c>
      <c r="D186" s="174">
        <v>2021</v>
      </c>
      <c r="E186" s="174">
        <v>2022</v>
      </c>
      <c r="F186" s="174">
        <v>2023</v>
      </c>
      <c r="G186" s="174">
        <v>2024</v>
      </c>
      <c r="H186" s="174">
        <v>2025</v>
      </c>
      <c r="I186" s="174" t="s">
        <v>146</v>
      </c>
    </row>
    <row r="187" spans="1:34" s="14" customFormat="1" ht="13.5" thickBot="1" x14ac:dyDescent="0.25">
      <c r="A187" s="177" t="s">
        <v>33</v>
      </c>
      <c r="B187" s="114"/>
      <c r="C187" s="114"/>
      <c r="D187" s="114">
        <f>F181</f>
        <v>199479.2</v>
      </c>
      <c r="E187" s="114">
        <f>K181</f>
        <v>22574</v>
      </c>
      <c r="F187" s="114">
        <f>O181</f>
        <v>99700</v>
      </c>
      <c r="G187" s="114">
        <f>S181</f>
        <v>75900</v>
      </c>
      <c r="H187" s="114">
        <f>Y181</f>
        <v>85200</v>
      </c>
      <c r="I187" s="225">
        <f>SUM(B187:H187)</f>
        <v>482853.2</v>
      </c>
    </row>
    <row r="188" spans="1:34" s="14" customFormat="1" x14ac:dyDescent="0.2">
      <c r="A188" s="224"/>
    </row>
    <row r="189" spans="1:34" s="14" customFormat="1" ht="13.5" thickBot="1" x14ac:dyDescent="0.25">
      <c r="A189" s="224"/>
      <c r="B189" s="174">
        <v>2019</v>
      </c>
      <c r="C189" s="174">
        <v>2020</v>
      </c>
      <c r="D189" s="174">
        <v>2021</v>
      </c>
      <c r="E189" s="174">
        <v>2022</v>
      </c>
      <c r="F189" s="174">
        <v>2023</v>
      </c>
      <c r="G189" s="174">
        <v>2024</v>
      </c>
      <c r="H189" s="174">
        <v>2025</v>
      </c>
    </row>
    <row r="190" spans="1:34" s="14" customFormat="1" ht="16.5" customHeight="1" thickBot="1" x14ac:dyDescent="0.25">
      <c r="A190" s="177" t="s">
        <v>152</v>
      </c>
      <c r="B190" s="114"/>
      <c r="C190" s="114"/>
      <c r="D190" s="114">
        <f>H181</f>
        <v>590885.6399999999</v>
      </c>
      <c r="E190" s="114">
        <f>L181</f>
        <v>1252942.0899999999</v>
      </c>
      <c r="F190" s="114">
        <f>P181</f>
        <v>959852</v>
      </c>
      <c r="G190" s="114">
        <f>T181</f>
        <v>196320</v>
      </c>
      <c r="H190" s="115">
        <f t="shared" ref="H190:H194" si="24">SUM(B190:G190)</f>
        <v>2999999.7299999995</v>
      </c>
      <c r="I190" s="88">
        <f>H190-3000000</f>
        <v>-0.27000000048428774</v>
      </c>
    </row>
    <row r="191" spans="1:34" s="14" customFormat="1" x14ac:dyDescent="0.2">
      <c r="A191" s="4"/>
      <c r="B191" s="174"/>
      <c r="C191" s="174"/>
      <c r="D191" s="174"/>
      <c r="E191" s="185">
        <f>D190+E190</f>
        <v>1843827.7299999997</v>
      </c>
      <c r="F191" s="185">
        <f>E191+F190</f>
        <v>2803679.7299999995</v>
      </c>
      <c r="G191" s="185">
        <f>F191+G190</f>
        <v>2999999.7299999995</v>
      </c>
      <c r="H191" s="185"/>
    </row>
    <row r="192" spans="1:34" s="14" customFormat="1" x14ac:dyDescent="0.2">
      <c r="A192" s="4"/>
      <c r="B192" s="174"/>
      <c r="C192" s="174"/>
      <c r="D192" s="174"/>
      <c r="E192" s="185"/>
      <c r="F192" s="185"/>
      <c r="G192" s="185"/>
      <c r="H192" s="185"/>
    </row>
    <row r="193" spans="1:10" s="14" customFormat="1" ht="13.5" thickBot="1" x14ac:dyDescent="0.25">
      <c r="A193" s="175" t="s">
        <v>221</v>
      </c>
      <c r="B193" s="174">
        <v>2019</v>
      </c>
      <c r="C193" s="174">
        <v>2020</v>
      </c>
      <c r="D193" s="174">
        <v>2021</v>
      </c>
      <c r="E193" s="174">
        <v>2022</v>
      </c>
      <c r="F193" s="174">
        <v>2023</v>
      </c>
      <c r="G193" s="174">
        <v>2024</v>
      </c>
      <c r="H193" s="174" t="s">
        <v>146</v>
      </c>
    </row>
    <row r="194" spans="1:10" s="14" customFormat="1" x14ac:dyDescent="0.2">
      <c r="A194" s="78" t="s">
        <v>145</v>
      </c>
      <c r="B194" s="79">
        <f>C181</f>
        <v>484254.09123000002</v>
      </c>
      <c r="C194" s="79">
        <f>D181</f>
        <v>460897.52007999999</v>
      </c>
      <c r="D194" s="79">
        <f>G181+I181+I183+I184</f>
        <v>511406.78</v>
      </c>
      <c r="E194" s="79">
        <f>M181+M183+M184</f>
        <v>1089985.47</v>
      </c>
      <c r="F194" s="79">
        <f>Q181+Q183+Q184</f>
        <v>1295560</v>
      </c>
      <c r="G194" s="79">
        <f>U181</f>
        <v>0</v>
      </c>
      <c r="H194" s="80">
        <f t="shared" si="24"/>
        <v>3842103.8613100001</v>
      </c>
    </row>
    <row r="195" spans="1:10" s="14" customFormat="1" x14ac:dyDescent="0.2">
      <c r="A195" s="81" t="s">
        <v>141</v>
      </c>
      <c r="B195" s="10"/>
      <c r="C195" s="10">
        <f>E181</f>
        <v>382266.45500000002</v>
      </c>
      <c r="D195" s="10">
        <f>J181</f>
        <v>634263.34642000007</v>
      </c>
      <c r="E195" s="10">
        <f>N181</f>
        <v>526547.59499999997</v>
      </c>
      <c r="F195" s="10">
        <f>R181+R183+R184</f>
        <v>1370433.20701</v>
      </c>
      <c r="G195" s="10">
        <f>W181</f>
        <v>923800</v>
      </c>
      <c r="H195" s="82">
        <f>SUM(B195:G195)</f>
        <v>3837310.6034300001</v>
      </c>
      <c r="I195" s="88">
        <f>H194-H195</f>
        <v>4793.2578799999319</v>
      </c>
    </row>
    <row r="196" spans="1:10" s="14" customFormat="1" ht="13.5" thickBot="1" x14ac:dyDescent="0.25">
      <c r="A196" s="118" t="s">
        <v>150</v>
      </c>
      <c r="B196" s="84"/>
      <c r="C196" s="85">
        <f>B194+C194-C195</f>
        <v>562885.15630999999</v>
      </c>
      <c r="D196" s="85">
        <f>C196+D194-D195</f>
        <v>440028.58988999994</v>
      </c>
      <c r="E196" s="85">
        <f>D196+E194-E195</f>
        <v>1003466.4648899999</v>
      </c>
      <c r="F196" s="85">
        <f t="shared" ref="F196:G196" si="25">E196+F194-F195</f>
        <v>928593.25787999993</v>
      </c>
      <c r="G196" s="116">
        <f t="shared" si="25"/>
        <v>4793.2578799999319</v>
      </c>
      <c r="H196" s="86"/>
    </row>
    <row r="198" spans="1:10" ht="13.5" thickBot="1" x14ac:dyDescent="0.25">
      <c r="A198" s="176" t="s">
        <v>203</v>
      </c>
      <c r="B198" s="174">
        <v>2019</v>
      </c>
      <c r="C198" s="174">
        <v>2020</v>
      </c>
      <c r="D198" s="174">
        <v>2021</v>
      </c>
      <c r="E198" s="174">
        <v>2022</v>
      </c>
      <c r="F198" s="174">
        <v>2023</v>
      </c>
      <c r="G198" s="174">
        <v>2024</v>
      </c>
      <c r="H198" s="174">
        <v>2025</v>
      </c>
      <c r="I198" s="174">
        <v>2026</v>
      </c>
      <c r="J198" s="174">
        <v>2027</v>
      </c>
    </row>
    <row r="199" spans="1:10" x14ac:dyDescent="0.2">
      <c r="A199" s="78" t="s">
        <v>215</v>
      </c>
      <c r="B199" s="79">
        <f>C187</f>
        <v>0</v>
      </c>
      <c r="C199" s="79">
        <v>0</v>
      </c>
      <c r="D199" s="79">
        <v>0</v>
      </c>
      <c r="E199" s="79">
        <v>0</v>
      </c>
      <c r="F199" s="79">
        <v>0</v>
      </c>
      <c r="G199" s="79">
        <f>V181</f>
        <v>1664315</v>
      </c>
      <c r="H199" s="79">
        <f>Z181</f>
        <v>1809180</v>
      </c>
      <c r="I199" s="79">
        <f>AC181</f>
        <v>1147600</v>
      </c>
      <c r="J199" s="79">
        <f>X187</f>
        <v>0</v>
      </c>
    </row>
    <row r="200" spans="1:10" x14ac:dyDescent="0.2">
      <c r="A200" s="81" t="s">
        <v>216</v>
      </c>
      <c r="B200" s="10"/>
      <c r="C200" s="10">
        <v>0</v>
      </c>
      <c r="D200" s="10">
        <v>0</v>
      </c>
      <c r="E200" s="10">
        <v>0</v>
      </c>
      <c r="F200" s="10">
        <v>0</v>
      </c>
      <c r="G200" s="10">
        <f>X181</f>
        <v>245400</v>
      </c>
      <c r="H200" s="10">
        <f>AA181</f>
        <v>1871065</v>
      </c>
      <c r="I200" s="10">
        <f>AD181</f>
        <v>1493380</v>
      </c>
      <c r="J200" s="10">
        <f>AG181</f>
        <v>1011250</v>
      </c>
    </row>
    <row r="201" spans="1:10" ht="13.5" thickBot="1" x14ac:dyDescent="0.25">
      <c r="A201" s="118" t="s">
        <v>217</v>
      </c>
      <c r="B201" s="84"/>
      <c r="C201" s="85">
        <f>B199+C199-C200</f>
        <v>0</v>
      </c>
      <c r="D201" s="85">
        <f>C201+D199-D200</f>
        <v>0</v>
      </c>
      <c r="E201" s="85">
        <f>D201+E199-E200</f>
        <v>0</v>
      </c>
      <c r="F201" s="85">
        <f t="shared" ref="F201:J201" si="26">E201+F199-F200</f>
        <v>0</v>
      </c>
      <c r="G201" s="85">
        <f t="shared" si="26"/>
        <v>1418915</v>
      </c>
      <c r="H201" s="85">
        <f t="shared" si="26"/>
        <v>1357030</v>
      </c>
      <c r="I201" s="85">
        <f t="shared" si="26"/>
        <v>1011250</v>
      </c>
      <c r="J201" s="85">
        <f t="shared" si="26"/>
        <v>0</v>
      </c>
    </row>
  </sheetData>
  <mergeCells count="8">
    <mergeCell ref="AB1:AD1"/>
    <mergeCell ref="AE1:AG1"/>
    <mergeCell ref="A1:A2"/>
    <mergeCell ref="F1:J1"/>
    <mergeCell ref="K1:N1"/>
    <mergeCell ref="O1:R1"/>
    <mergeCell ref="S1:X1"/>
    <mergeCell ref="Y1:AA1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3BA6C4C7FA934495C34874A5521E3A" ma:contentTypeVersion="14" ma:contentTypeDescription="Create a new document." ma:contentTypeScope="" ma:versionID="a9eedf168f5b74e90f1d967c9549eecd">
  <xsd:schema xmlns:xsd="http://www.w3.org/2001/XMLSchema" xmlns:xs="http://www.w3.org/2001/XMLSchema" xmlns:p="http://schemas.microsoft.com/office/2006/metadata/properties" xmlns:ns2="30f05adf-e681-4a76-beaf-c04308791892" xmlns:ns3="cb9dfb18-ecd9-4d74-a938-ecf7de4f3d08" targetNamespace="http://schemas.microsoft.com/office/2006/metadata/properties" ma:root="true" ma:fieldsID="6484c2a41c9ec08904512f1a923acf74" ns2:_="" ns3:_="">
    <xsd:import namespace="30f05adf-e681-4a76-beaf-c04308791892"/>
    <xsd:import namespace="cb9dfb18-ecd9-4d74-a938-ecf7de4f3d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05adf-e681-4a76-beaf-c043087918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48465ac-7cf6-425a-b3f7-0262ee80f21d}" ma:internalName="TaxCatchAll" ma:showField="CatchAllData" ma:web="30f05adf-e681-4a76-beaf-c043087918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dfb18-ecd9-4d74-a938-ecf7de4f3d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05adf-e681-4a76-beaf-c04308791892" xsi:nil="true"/>
    <lcf76f155ced4ddcb4097134ff3c332f xmlns="cb9dfb18-ecd9-4d74-a938-ecf7de4f3d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0A21A9-53E9-4E5F-A3DE-8E88E8E365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05adf-e681-4a76-beaf-c04308791892"/>
    <ds:schemaRef ds:uri="cb9dfb18-ecd9-4d74-a938-ecf7de4f3d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7A7499-D23C-4F64-8E2E-7D8C22DB10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AA9238-4DA6-4DBC-B2EB-CA12DF3B92D1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30f05adf-e681-4a76-beaf-c04308791892"/>
    <ds:schemaRef ds:uri="cb9dfb18-ecd9-4d74-a938-ecf7de4f3d08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UR</vt:lpstr>
      <vt:lpstr>UCB bz 250 (schálný ČS)</vt:lpstr>
      <vt:lpstr>UCBbz 250 (schálný ČS)+nové ŠMS</vt:lpstr>
      <vt:lpstr>UCB revize (plán ČS)+ŠMS</vt:lpstr>
      <vt:lpstr>ÚVĚRY revize EP 27_04_2021</vt:lpstr>
      <vt:lpstr>ÚVĚRY EPaIM 29_04_2021</vt:lpstr>
      <vt:lpstr>ÚVĚRY Kalkulačka 29_04_2021</vt:lpstr>
      <vt:lpstr>ÚVĚRY EP+IM 14_05_2021</vt:lpstr>
      <vt:lpstr>28_6_2021_parky Karviná</vt:lpstr>
      <vt:lpstr>25_10_2021_změny IM a EP</vt:lpstr>
      <vt:lpstr>25_10_2021_změny IM a EP (2)</vt:lpstr>
      <vt:lpstr>Nový úvěr_projekty</vt:lpstr>
      <vt:lpstr>ÚVĚRY EP+IM 07_05_2021+REAKT</vt:lpstr>
      <vt:lpstr>UCB REAKT EU</vt:lpstr>
      <vt:lpstr>ČS REAKT EU</vt:lpstr>
      <vt:lpstr>kombinace UCB a ČS REAKT EU</vt:lpstr>
      <vt:lpstr>'Nový úvěr_projekty'!Názvy_tisku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Staňková Petra</dc:creator>
  <cp:lastModifiedBy>Paseka Petr</cp:lastModifiedBy>
  <cp:lastPrinted>2023-08-03T07:49:49Z</cp:lastPrinted>
  <dcterms:created xsi:type="dcterms:W3CDTF">2020-07-24T06:01:22Z</dcterms:created>
  <dcterms:modified xsi:type="dcterms:W3CDTF">2023-08-03T08:03:51Z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0x010100BB3BA6C4C7FA934495C34874A5521E3A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2022-03-03T08:45:53Z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7c26dc2d-2123-43ea-8cd6-ac097372de9a</vt:lpwstr>
  </property>
  <property fmtid="{D5CDD505-2E9C-101B-9397-08002B2CF9AE}" pid="9" name="MSIP_Label_63ff9749-f68b-40ec-aa05-229831920469_ContentBits">
    <vt:lpwstr>2</vt:lpwstr>
  </property>
  <property fmtid="{D5CDD505-2E9C-101B-9397-08002B2CF9AE}" pid="10" name="MediaServiceImageTags">
    <vt:lpwstr/>
  </property>
</Properties>
</file>