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kubikova2611\Desktop\Materiál FINAL do RK 29.8\"/>
    </mc:Choice>
  </mc:AlternateContent>
  <xr:revisionPtr revIDLastSave="0" documentId="13_ncr:1_{A07C116A-1E0A-40DA-A1D5-B678AE7FC458}" xr6:coauthVersionLast="47" xr6:coauthVersionMax="47" xr10:uidLastSave="{00000000-0000-0000-0000-000000000000}"/>
  <bookViews>
    <workbookView xWindow="-120" yWindow="-120" windowWidth="29040" windowHeight="15840" xr2:uid="{82066F74-6138-4E9B-8774-0D0D89BDB680}"/>
  </bookViews>
  <sheets>
    <sheet name="Příloha č.1" sheetId="4" r:id="rId1"/>
  </sheets>
  <definedNames>
    <definedName name="_xlnm._FilterDatabase" localSheetId="0" hidden="1">'Příloha č.1'!$A$6:$CO$38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26" i="4" l="1"/>
  <c r="U34" i="4"/>
  <c r="AB30" i="4"/>
  <c r="AO34" i="4"/>
  <c r="V37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U37" i="4"/>
  <c r="BQ24" i="4"/>
  <c r="BP24" i="4"/>
  <c r="BO24" i="4"/>
  <c r="BN24" i="4" s="1"/>
  <c r="BJ24" i="4"/>
  <c r="BI24" i="4"/>
  <c r="BH24" i="4"/>
  <c r="BG24" i="4"/>
  <c r="BF24" i="4"/>
  <c r="AZ24" i="4"/>
  <c r="AY24" i="4"/>
  <c r="AW24" i="4"/>
  <c r="AV24" i="4"/>
  <c r="AQ24" i="4"/>
  <c r="AK24" i="4"/>
  <c r="AE24" i="4"/>
  <c r="AP24" i="4"/>
  <c r="AI34" i="4"/>
  <c r="AU24" i="4" l="1"/>
  <c r="BE24" i="4"/>
  <c r="Z24" i="4"/>
  <c r="AA24" i="4"/>
  <c r="S24" i="4"/>
  <c r="K24" i="4"/>
  <c r="BT24" i="4" s="1"/>
  <c r="AK33" i="4"/>
  <c r="Y24" i="4" l="1"/>
  <c r="BU24" i="4" s="1"/>
  <c r="AC33" i="4" l="1"/>
  <c r="K33" i="4"/>
  <c r="S33" i="4"/>
  <c r="Z33" i="4"/>
  <c r="AA33" i="4"/>
  <c r="AB33" i="4"/>
  <c r="AD33" i="4"/>
  <c r="AE33" i="4"/>
  <c r="AN33" i="4"/>
  <c r="AQ33" i="4"/>
  <c r="AV33" i="4"/>
  <c r="AU33" i="4" s="1"/>
  <c r="AW33" i="4"/>
  <c r="AY33" i="4"/>
  <c r="AZ33" i="4"/>
  <c r="BF33" i="4"/>
  <c r="BG33" i="4"/>
  <c r="BH33" i="4"/>
  <c r="BI33" i="4"/>
  <c r="BJ33" i="4"/>
  <c r="BO33" i="4"/>
  <c r="BN33" i="4" s="1"/>
  <c r="BP33" i="4"/>
  <c r="BQ33" i="4"/>
  <c r="BR33" i="4"/>
  <c r="BE33" i="4" l="1"/>
  <c r="BT33" i="4"/>
  <c r="Y33" i="4"/>
  <c r="BS33" i="4"/>
  <c r="BU33" i="4" l="1"/>
  <c r="BR32" i="4"/>
  <c r="BQ32" i="4"/>
  <c r="BP32" i="4"/>
  <c r="BO32" i="4"/>
  <c r="BN32" i="4" s="1"/>
  <c r="BJ32" i="4"/>
  <c r="BI32" i="4"/>
  <c r="BH32" i="4"/>
  <c r="BG32" i="4"/>
  <c r="BF32" i="4"/>
  <c r="AZ32" i="4"/>
  <c r="AY32" i="4"/>
  <c r="AW32" i="4"/>
  <c r="AV32" i="4"/>
  <c r="AU32" i="4" s="1"/>
  <c r="AQ32" i="4"/>
  <c r="AP32" i="4"/>
  <c r="AN32" i="4"/>
  <c r="AM32" i="4"/>
  <c r="AL32" i="4"/>
  <c r="AE32" i="4"/>
  <c r="AD32" i="4"/>
  <c r="AB32" i="4"/>
  <c r="AA32" i="4"/>
  <c r="Z32" i="4"/>
  <c r="S32" i="4"/>
  <c r="K32" i="4"/>
  <c r="BV33" i="4" l="1"/>
  <c r="BZ33" i="4"/>
  <c r="BE32" i="4"/>
  <c r="AK32" i="4"/>
  <c r="Y32" i="4"/>
  <c r="BS32" i="4"/>
  <c r="BT32" i="4"/>
  <c r="BU32" i="4" l="1"/>
  <c r="BV32" i="4" s="1"/>
  <c r="BI25" i="4"/>
  <c r="AT25" i="4"/>
  <c r="AY25" i="4" s="1"/>
  <c r="AP25" i="4"/>
  <c r="K25" i="4"/>
  <c r="AL29" i="4" l="1"/>
  <c r="AL31" i="4"/>
  <c r="AL17" i="4" l="1"/>
  <c r="AL14" i="4"/>
  <c r="BV13" i="4" l="1"/>
  <c r="Z12" i="4"/>
  <c r="Z13" i="4"/>
  <c r="AL13" i="4"/>
  <c r="AM28" i="4"/>
  <c r="AK28" i="4" s="1"/>
  <c r="AM29" i="4" l="1"/>
  <c r="BQ30" i="4" l="1"/>
  <c r="BR30" i="4"/>
  <c r="BP30" i="4"/>
  <c r="BJ30" i="4"/>
  <c r="BO30" i="4"/>
  <c r="BN30" i="4" s="1"/>
  <c r="AZ29" i="4"/>
  <c r="AZ30" i="4"/>
  <c r="BF30" i="4"/>
  <c r="BH30" i="4"/>
  <c r="BG30" i="4"/>
  <c r="AY30" i="4"/>
  <c r="AW30" i="4"/>
  <c r="AU30" i="4" s="1"/>
  <c r="AV28" i="4"/>
  <c r="AQ30" i="4"/>
  <c r="AM30" i="4"/>
  <c r="AK30" i="4" s="1"/>
  <c r="AD29" i="4"/>
  <c r="AA30" i="4"/>
  <c r="BE30" i="4" l="1"/>
  <c r="BT30" i="4"/>
  <c r="AM26" i="4" l="1"/>
  <c r="BJ12" i="4"/>
  <c r="BO12" i="4"/>
  <c r="BN12" i="4" s="1"/>
  <c r="BP12" i="4"/>
  <c r="BQ12" i="4"/>
  <c r="BR12" i="4"/>
  <c r="BF12" i="4"/>
  <c r="BG12" i="4"/>
  <c r="BH12" i="4"/>
  <c r="BI12" i="4"/>
  <c r="AZ12" i="4"/>
  <c r="AV12" i="4"/>
  <c r="AW12" i="4"/>
  <c r="AY12" i="4"/>
  <c r="AQ12" i="4"/>
  <c r="BT12" i="4" l="1"/>
  <c r="AU12" i="4"/>
  <c r="BE12" i="4"/>
  <c r="AN30" i="4" l="1"/>
  <c r="AD30" i="4"/>
  <c r="S9" i="4"/>
  <c r="AM12" i="4"/>
  <c r="AK12" i="4" s="1"/>
  <c r="AN12" i="4"/>
  <c r="AP12" i="4"/>
  <c r="BS12" i="4" s="1"/>
  <c r="AP8" i="4"/>
  <c r="AN9" i="4"/>
  <c r="AN8" i="4"/>
  <c r="AM9" i="4"/>
  <c r="AP9" i="4"/>
  <c r="AA19" i="4"/>
  <c r="AA18" i="4"/>
  <c r="T36" i="4"/>
  <c r="BM34" i="4"/>
  <c r="BL34" i="4"/>
  <c r="BK34" i="4"/>
  <c r="BD34" i="4"/>
  <c r="BC34" i="4"/>
  <c r="BB34" i="4"/>
  <c r="BA34" i="4"/>
  <c r="AX34" i="4"/>
  <c r="AT34" i="4"/>
  <c r="AS34" i="4"/>
  <c r="AR34" i="4"/>
  <c r="AJ34" i="4"/>
  <c r="AH34" i="4"/>
  <c r="AF34" i="4"/>
  <c r="AC34" i="4"/>
  <c r="X34" i="4"/>
  <c r="W34" i="4"/>
  <c r="V34" i="4"/>
  <c r="T34" i="4"/>
  <c r="R34" i="4"/>
  <c r="O34" i="4"/>
  <c r="N34" i="4"/>
  <c r="M34" i="4"/>
  <c r="L34" i="4"/>
  <c r="BR31" i="4"/>
  <c r="BQ31" i="4"/>
  <c r="BP31" i="4"/>
  <c r="BO31" i="4"/>
  <c r="BN31" i="4" s="1"/>
  <c r="BJ31" i="4"/>
  <c r="BI31" i="4"/>
  <c r="BH31" i="4"/>
  <c r="BG31" i="4"/>
  <c r="BF31" i="4"/>
  <c r="AZ31" i="4"/>
  <c r="AY31" i="4"/>
  <c r="AW31" i="4"/>
  <c r="AV31" i="4"/>
  <c r="AQ31" i="4"/>
  <c r="AP31" i="4"/>
  <c r="AN31" i="4"/>
  <c r="AM31" i="4"/>
  <c r="AE31" i="4"/>
  <c r="AD31" i="4"/>
  <c r="AB31" i="4"/>
  <c r="AA31" i="4"/>
  <c r="Z31" i="4"/>
  <c r="S31" i="4"/>
  <c r="K31" i="4"/>
  <c r="Z30" i="4"/>
  <c r="S30" i="4"/>
  <c r="BR29" i="4"/>
  <c r="BQ29" i="4"/>
  <c r="BP29" i="4"/>
  <c r="BO29" i="4"/>
  <c r="BN29" i="4" s="1"/>
  <c r="BJ29" i="4"/>
  <c r="BI29" i="4"/>
  <c r="BH29" i="4"/>
  <c r="BG29" i="4"/>
  <c r="BF29" i="4"/>
  <c r="AY29" i="4"/>
  <c r="AW29" i="4"/>
  <c r="AV29" i="4"/>
  <c r="AQ29" i="4"/>
  <c r="AP29" i="4"/>
  <c r="AN29" i="4"/>
  <c r="AE29" i="4"/>
  <c r="AB29" i="4"/>
  <c r="AA29" i="4"/>
  <c r="Z29" i="4"/>
  <c r="S29" i="4"/>
  <c r="K29" i="4"/>
  <c r="BR28" i="4"/>
  <c r="BQ28" i="4"/>
  <c r="BP28" i="4"/>
  <c r="BO28" i="4"/>
  <c r="BN28" i="4" s="1"/>
  <c r="BJ28" i="4"/>
  <c r="BI28" i="4"/>
  <c r="BH28" i="4"/>
  <c r="BG28" i="4"/>
  <c r="BF28" i="4"/>
  <c r="AZ28" i="4"/>
  <c r="AY28" i="4"/>
  <c r="AW28" i="4"/>
  <c r="AQ28" i="4"/>
  <c r="AP28" i="4"/>
  <c r="AN28" i="4"/>
  <c r="AE28" i="4"/>
  <c r="AD28" i="4"/>
  <c r="AB28" i="4"/>
  <c r="AA28" i="4"/>
  <c r="Z28" i="4"/>
  <c r="S28" i="4"/>
  <c r="K28" i="4"/>
  <c r="I28" i="4"/>
  <c r="BR27" i="4"/>
  <c r="BQ27" i="4"/>
  <c r="BP27" i="4"/>
  <c r="BO27" i="4"/>
  <c r="BN27" i="4" s="1"/>
  <c r="BJ27" i="4"/>
  <c r="BI27" i="4"/>
  <c r="BH27" i="4"/>
  <c r="BG27" i="4"/>
  <c r="BF27" i="4"/>
  <c r="AZ27" i="4"/>
  <c r="AY27" i="4"/>
  <c r="AW27" i="4"/>
  <c r="AV27" i="4"/>
  <c r="AQ27" i="4"/>
  <c r="AP27" i="4"/>
  <c r="AN27" i="4"/>
  <c r="AM27" i="4"/>
  <c r="AL27" i="4"/>
  <c r="AE27" i="4"/>
  <c r="AD27" i="4"/>
  <c r="AB27" i="4"/>
  <c r="AA27" i="4"/>
  <c r="Z27" i="4"/>
  <c r="S27" i="4"/>
  <c r="K27" i="4"/>
  <c r="BR26" i="4"/>
  <c r="BQ26" i="4"/>
  <c r="BP26" i="4"/>
  <c r="BO26" i="4"/>
  <c r="BN26" i="4" s="1"/>
  <c r="BJ26" i="4"/>
  <c r="BI26" i="4"/>
  <c r="BH26" i="4"/>
  <c r="BG26" i="4"/>
  <c r="BF26" i="4"/>
  <c r="AZ26" i="4"/>
  <c r="AY26" i="4"/>
  <c r="AW26" i="4"/>
  <c r="AV26" i="4"/>
  <c r="AQ26" i="4"/>
  <c r="AP26" i="4"/>
  <c r="AN26" i="4"/>
  <c r="AE26" i="4"/>
  <c r="AD26" i="4"/>
  <c r="AB26" i="4"/>
  <c r="AA26" i="4"/>
  <c r="Z26" i="4"/>
  <c r="S26" i="4"/>
  <c r="K26" i="4"/>
  <c r="BR25" i="4"/>
  <c r="BQ25" i="4"/>
  <c r="BP25" i="4"/>
  <c r="BO25" i="4"/>
  <c r="BN25" i="4" s="1"/>
  <c r="BJ25" i="4"/>
  <c r="BH25" i="4"/>
  <c r="BG25" i="4"/>
  <c r="BF25" i="4"/>
  <c r="AZ25" i="4"/>
  <c r="AW25" i="4"/>
  <c r="AV25" i="4"/>
  <c r="AQ25" i="4"/>
  <c r="AN25" i="4"/>
  <c r="AM25" i="4"/>
  <c r="AL25" i="4"/>
  <c r="AE25" i="4"/>
  <c r="AD25" i="4"/>
  <c r="AB25" i="4"/>
  <c r="AA25" i="4"/>
  <c r="Z25" i="4"/>
  <c r="S25" i="4"/>
  <c r="BR23" i="4"/>
  <c r="BQ23" i="4"/>
  <c r="BP23" i="4"/>
  <c r="BO23" i="4"/>
  <c r="BN23" i="4" s="1"/>
  <c r="BJ23" i="4"/>
  <c r="BI23" i="4"/>
  <c r="BH23" i="4"/>
  <c r="BG23" i="4"/>
  <c r="BF23" i="4"/>
  <c r="AZ23" i="4"/>
  <c r="AY23" i="4"/>
  <c r="AW23" i="4"/>
  <c r="AV23" i="4"/>
  <c r="AQ23" i="4"/>
  <c r="AP23" i="4"/>
  <c r="AN23" i="4"/>
  <c r="AM23" i="4"/>
  <c r="AL23" i="4"/>
  <c r="AE23" i="4"/>
  <c r="AD23" i="4"/>
  <c r="AB23" i="4"/>
  <c r="AA23" i="4"/>
  <c r="Z23" i="4"/>
  <c r="S23" i="4"/>
  <c r="K23" i="4"/>
  <c r="BR22" i="4"/>
  <c r="BQ22" i="4"/>
  <c r="BP22" i="4"/>
  <c r="BO22" i="4"/>
  <c r="BN22" i="4" s="1"/>
  <c r="BJ22" i="4"/>
  <c r="BI22" i="4"/>
  <c r="BH22" i="4"/>
  <c r="BG22" i="4"/>
  <c r="BF22" i="4"/>
  <c r="AZ22" i="4"/>
  <c r="AY22" i="4"/>
  <c r="AW22" i="4"/>
  <c r="AV22" i="4"/>
  <c r="AQ22" i="4"/>
  <c r="AP22" i="4"/>
  <c r="AN22" i="4"/>
  <c r="AM22" i="4"/>
  <c r="AL22" i="4"/>
  <c r="AE22" i="4"/>
  <c r="AD22" i="4"/>
  <c r="AB22" i="4"/>
  <c r="AA22" i="4"/>
  <c r="Z22" i="4"/>
  <c r="S22" i="4"/>
  <c r="K22" i="4"/>
  <c r="BR21" i="4"/>
  <c r="BQ21" i="4"/>
  <c r="BP21" i="4"/>
  <c r="BO21" i="4"/>
  <c r="BN21" i="4" s="1"/>
  <c r="BJ21" i="4"/>
  <c r="BI21" i="4"/>
  <c r="BH21" i="4"/>
  <c r="BG21" i="4"/>
  <c r="BF21" i="4"/>
  <c r="AZ21" i="4"/>
  <c r="AY21" i="4"/>
  <c r="AW21" i="4"/>
  <c r="AV21" i="4"/>
  <c r="AQ21" i="4"/>
  <c r="AP21" i="4"/>
  <c r="AN21" i="4"/>
  <c r="AM21" i="4"/>
  <c r="AL21" i="4"/>
  <c r="AE21" i="4"/>
  <c r="AD21" i="4"/>
  <c r="AB21" i="4"/>
  <c r="AA21" i="4"/>
  <c r="Z21" i="4"/>
  <c r="S21" i="4"/>
  <c r="K21" i="4"/>
  <c r="BR20" i="4"/>
  <c r="BQ20" i="4"/>
  <c r="BP20" i="4"/>
  <c r="BO20" i="4"/>
  <c r="BN20" i="4" s="1"/>
  <c r="BJ20" i="4"/>
  <c r="BI20" i="4"/>
  <c r="BH20" i="4"/>
  <c r="BG20" i="4"/>
  <c r="BF20" i="4"/>
  <c r="AZ20" i="4"/>
  <c r="AY20" i="4"/>
  <c r="AW20" i="4"/>
  <c r="AV20" i="4"/>
  <c r="AQ20" i="4"/>
  <c r="AP20" i="4"/>
  <c r="AN20" i="4"/>
  <c r="AM20" i="4"/>
  <c r="AL20" i="4"/>
  <c r="AE20" i="4"/>
  <c r="AD20" i="4"/>
  <c r="AB20" i="4"/>
  <c r="AA20" i="4"/>
  <c r="Z20" i="4"/>
  <c r="S20" i="4"/>
  <c r="K20" i="4"/>
  <c r="BR19" i="4"/>
  <c r="BQ19" i="4"/>
  <c r="BP19" i="4"/>
  <c r="BO19" i="4"/>
  <c r="BN19" i="4" s="1"/>
  <c r="BJ19" i="4"/>
  <c r="BI19" i="4"/>
  <c r="BH19" i="4"/>
  <c r="BG19" i="4"/>
  <c r="BF19" i="4"/>
  <c r="AZ19" i="4"/>
  <c r="AY19" i="4"/>
  <c r="AW19" i="4"/>
  <c r="AV19" i="4"/>
  <c r="AQ19" i="4"/>
  <c r="AP19" i="4"/>
  <c r="AN19" i="4"/>
  <c r="AM19" i="4"/>
  <c r="AL19" i="4"/>
  <c r="AE19" i="4"/>
  <c r="AD19" i="4"/>
  <c r="AB19" i="4"/>
  <c r="Z19" i="4"/>
  <c r="S19" i="4"/>
  <c r="K19" i="4"/>
  <c r="BR18" i="4"/>
  <c r="BQ18" i="4"/>
  <c r="BP18" i="4"/>
  <c r="BO18" i="4"/>
  <c r="BN18" i="4" s="1"/>
  <c r="BJ18" i="4"/>
  <c r="BI18" i="4"/>
  <c r="BH18" i="4"/>
  <c r="BG18" i="4"/>
  <c r="BF18" i="4"/>
  <c r="AZ18" i="4"/>
  <c r="AY18" i="4"/>
  <c r="AW18" i="4"/>
  <c r="AV18" i="4"/>
  <c r="AQ18" i="4"/>
  <c r="AP18" i="4"/>
  <c r="AN18" i="4"/>
  <c r="AM18" i="4"/>
  <c r="AL18" i="4"/>
  <c r="AE18" i="4"/>
  <c r="AD18" i="4"/>
  <c r="AB18" i="4"/>
  <c r="Z18" i="4"/>
  <c r="S18" i="4"/>
  <c r="K18" i="4"/>
  <c r="BR17" i="4"/>
  <c r="BQ17" i="4"/>
  <c r="BP17" i="4"/>
  <c r="BO17" i="4"/>
  <c r="BN17" i="4" s="1"/>
  <c r="BJ17" i="4"/>
  <c r="BI17" i="4"/>
  <c r="BH17" i="4"/>
  <c r="BG17" i="4"/>
  <c r="BF17" i="4"/>
  <c r="AZ17" i="4"/>
  <c r="AY17" i="4"/>
  <c r="AW17" i="4"/>
  <c r="AV17" i="4"/>
  <c r="AQ17" i="4"/>
  <c r="AP17" i="4"/>
  <c r="AN17" i="4"/>
  <c r="AM17" i="4"/>
  <c r="AE17" i="4"/>
  <c r="AD17" i="4"/>
  <c r="AB17" i="4"/>
  <c r="AA17" i="4"/>
  <c r="Z17" i="4"/>
  <c r="S17" i="4"/>
  <c r="K17" i="4"/>
  <c r="BR16" i="4"/>
  <c r="BQ16" i="4"/>
  <c r="BP16" i="4"/>
  <c r="BO16" i="4"/>
  <c r="BN16" i="4" s="1"/>
  <c r="BJ16" i="4"/>
  <c r="BI16" i="4"/>
  <c r="BH16" i="4"/>
  <c r="BG16" i="4"/>
  <c r="BF16" i="4"/>
  <c r="AZ16" i="4"/>
  <c r="AY16" i="4"/>
  <c r="AW16" i="4"/>
  <c r="AV16" i="4"/>
  <c r="AQ16" i="4"/>
  <c r="AP16" i="4"/>
  <c r="AN16" i="4"/>
  <c r="AM16" i="4"/>
  <c r="AL16" i="4"/>
  <c r="AE16" i="4"/>
  <c r="AD16" i="4"/>
  <c r="AB16" i="4"/>
  <c r="AA16" i="4"/>
  <c r="Z16" i="4"/>
  <c r="S16" i="4"/>
  <c r="K16" i="4"/>
  <c r="I16" i="4"/>
  <c r="BR15" i="4"/>
  <c r="BQ15" i="4"/>
  <c r="BP15" i="4"/>
  <c r="BO15" i="4"/>
  <c r="BN15" i="4" s="1"/>
  <c r="BJ15" i="4"/>
  <c r="BI15" i="4"/>
  <c r="BH15" i="4"/>
  <c r="BG15" i="4"/>
  <c r="BF15" i="4"/>
  <c r="AZ15" i="4"/>
  <c r="AY15" i="4"/>
  <c r="AW15" i="4"/>
  <c r="AV15" i="4"/>
  <c r="AQ15" i="4"/>
  <c r="AP15" i="4"/>
  <c r="AN15" i="4"/>
  <c r="AL15" i="4"/>
  <c r="AG15" i="4"/>
  <c r="AM15" i="4" s="1"/>
  <c r="AD15" i="4"/>
  <c r="AB15" i="4"/>
  <c r="AA15" i="4"/>
  <c r="Z15" i="4"/>
  <c r="S15" i="4"/>
  <c r="K15" i="4"/>
  <c r="I15" i="4"/>
  <c r="BR14" i="4"/>
  <c r="BQ14" i="4"/>
  <c r="BP14" i="4"/>
  <c r="BO14" i="4"/>
  <c r="BN14" i="4" s="1"/>
  <c r="BJ14" i="4"/>
  <c r="BI14" i="4"/>
  <c r="BH14" i="4"/>
  <c r="BG14" i="4"/>
  <c r="BF14" i="4"/>
  <c r="AZ14" i="4"/>
  <c r="AY14" i="4"/>
  <c r="AW14" i="4"/>
  <c r="AV14" i="4"/>
  <c r="AQ14" i="4"/>
  <c r="AP14" i="4"/>
  <c r="AN14" i="4"/>
  <c r="AM14" i="4"/>
  <c r="AE14" i="4"/>
  <c r="AD14" i="4"/>
  <c r="AB14" i="4"/>
  <c r="AA14" i="4"/>
  <c r="Z14" i="4"/>
  <c r="S14" i="4"/>
  <c r="K14" i="4"/>
  <c r="BR13" i="4"/>
  <c r="BQ13" i="4"/>
  <c r="BP13" i="4"/>
  <c r="BO13" i="4"/>
  <c r="BN13" i="4" s="1"/>
  <c r="BJ13" i="4"/>
  <c r="BI13" i="4"/>
  <c r="BH13" i="4"/>
  <c r="BG13" i="4"/>
  <c r="BF13" i="4"/>
  <c r="AZ13" i="4"/>
  <c r="AY13" i="4"/>
  <c r="AW13" i="4"/>
  <c r="AV13" i="4"/>
  <c r="AQ13" i="4"/>
  <c r="AP13" i="4"/>
  <c r="AN13" i="4"/>
  <c r="AM13" i="4"/>
  <c r="AE13" i="4"/>
  <c r="AD13" i="4"/>
  <c r="AB13" i="4"/>
  <c r="AA13" i="4"/>
  <c r="S13" i="4"/>
  <c r="AA12" i="4"/>
  <c r="S12" i="4"/>
  <c r="BR11" i="4"/>
  <c r="BQ11" i="4"/>
  <c r="BP11" i="4"/>
  <c r="BO11" i="4"/>
  <c r="BN11" i="4" s="1"/>
  <c r="BJ11" i="4"/>
  <c r="BI11" i="4"/>
  <c r="BH11" i="4"/>
  <c r="BG11" i="4"/>
  <c r="BF11" i="4"/>
  <c r="AZ11" i="4"/>
  <c r="AY11" i="4"/>
  <c r="AW11" i="4"/>
  <c r="AV11" i="4"/>
  <c r="AQ11" i="4"/>
  <c r="AP11" i="4"/>
  <c r="AN11" i="4"/>
  <c r="AM11" i="4"/>
  <c r="AL11" i="4"/>
  <c r="AE11" i="4"/>
  <c r="AD11" i="4"/>
  <c r="AB11" i="4"/>
  <c r="AA11" i="4"/>
  <c r="Z11" i="4"/>
  <c r="S11" i="4"/>
  <c r="K11" i="4"/>
  <c r="BR10" i="4"/>
  <c r="BQ10" i="4"/>
  <c r="BP10" i="4"/>
  <c r="BO10" i="4"/>
  <c r="BN10" i="4" s="1"/>
  <c r="BJ10" i="4"/>
  <c r="BI10" i="4"/>
  <c r="BH10" i="4"/>
  <c r="BG10" i="4"/>
  <c r="BF10" i="4"/>
  <c r="AZ10" i="4"/>
  <c r="AY10" i="4"/>
  <c r="AW10" i="4"/>
  <c r="AV10" i="4"/>
  <c r="AQ10" i="4"/>
  <c r="AP10" i="4"/>
  <c r="AN10" i="4"/>
  <c r="AM10" i="4"/>
  <c r="AL10" i="4"/>
  <c r="AE10" i="4"/>
  <c r="AD10" i="4"/>
  <c r="AB10" i="4"/>
  <c r="AA10" i="4"/>
  <c r="Z10" i="4"/>
  <c r="S10" i="4"/>
  <c r="K10" i="4"/>
  <c r="I10" i="4"/>
  <c r="BR9" i="4"/>
  <c r="BQ9" i="4"/>
  <c r="BP9" i="4"/>
  <c r="BO9" i="4"/>
  <c r="BN9" i="4" s="1"/>
  <c r="BJ9" i="4"/>
  <c r="BI9" i="4"/>
  <c r="BH9" i="4"/>
  <c r="BG9" i="4"/>
  <c r="BF9" i="4"/>
  <c r="AZ9" i="4"/>
  <c r="AW9" i="4"/>
  <c r="AV9" i="4"/>
  <c r="AQ9" i="4"/>
  <c r="AL9" i="4"/>
  <c r="AE9" i="4"/>
  <c r="AD9" i="4"/>
  <c r="AB9" i="4"/>
  <c r="AA9" i="4"/>
  <c r="Z9" i="4"/>
  <c r="K9" i="4"/>
  <c r="BR8" i="4"/>
  <c r="BQ8" i="4"/>
  <c r="BP8" i="4"/>
  <c r="BO8" i="4"/>
  <c r="BN8" i="4" s="1"/>
  <c r="BJ8" i="4"/>
  <c r="BI8" i="4"/>
  <c r="BH8" i="4"/>
  <c r="BG8" i="4"/>
  <c r="BF8" i="4"/>
  <c r="AZ8" i="4"/>
  <c r="AW8" i="4"/>
  <c r="AV8" i="4"/>
  <c r="AQ8" i="4"/>
  <c r="AL8" i="4"/>
  <c r="AG8" i="4"/>
  <c r="AB8" i="4"/>
  <c r="AA8" i="4"/>
  <c r="Z8" i="4"/>
  <c r="S8" i="4"/>
  <c r="K8" i="4"/>
  <c r="BR7" i="4"/>
  <c r="BQ7" i="4"/>
  <c r="BP7" i="4"/>
  <c r="BO7" i="4"/>
  <c r="BN7" i="4" s="1"/>
  <c r="BJ7" i="4"/>
  <c r="BH7" i="4"/>
  <c r="BG7" i="4"/>
  <c r="BF7" i="4"/>
  <c r="AZ7" i="4"/>
  <c r="AW7" i="4"/>
  <c r="AV7" i="4"/>
  <c r="AQ7" i="4"/>
  <c r="AP7" i="4"/>
  <c r="AN7" i="4"/>
  <c r="AM7" i="4"/>
  <c r="AL7" i="4"/>
  <c r="AE7" i="4"/>
  <c r="AD7" i="4"/>
  <c r="AB7" i="4"/>
  <c r="AA7" i="4"/>
  <c r="Z7" i="4"/>
  <c r="S7" i="4"/>
  <c r="K7" i="4"/>
  <c r="AG34" i="4" l="1"/>
  <c r="AK9" i="4"/>
  <c r="AU21" i="4"/>
  <c r="AK11" i="4"/>
  <c r="BE8" i="4"/>
  <c r="BE26" i="4"/>
  <c r="Y10" i="4"/>
  <c r="Y31" i="4"/>
  <c r="BT29" i="4"/>
  <c r="AU11" i="4"/>
  <c r="AK16" i="4"/>
  <c r="AK14" i="4"/>
  <c r="Y18" i="4"/>
  <c r="AU13" i="4"/>
  <c r="AK17" i="4"/>
  <c r="AK19" i="4"/>
  <c r="AK20" i="4"/>
  <c r="AU22" i="4"/>
  <c r="AK21" i="4"/>
  <c r="AU25" i="4"/>
  <c r="AU31" i="4"/>
  <c r="AU17" i="4"/>
  <c r="AU18" i="4"/>
  <c r="AM8" i="4"/>
  <c r="AK8" i="4" s="1"/>
  <c r="Y23" i="4"/>
  <c r="Y25" i="4"/>
  <c r="Y15" i="4"/>
  <c r="AK29" i="4"/>
  <c r="Y16" i="4"/>
  <c r="BE21" i="4"/>
  <c r="Y27" i="4"/>
  <c r="AK7" i="4"/>
  <c r="BS10" i="4"/>
  <c r="Y11" i="4"/>
  <c r="Y29" i="4"/>
  <c r="S34" i="4"/>
  <c r="AK25" i="4"/>
  <c r="AK26" i="4"/>
  <c r="Y7" i="4"/>
  <c r="BH34" i="4"/>
  <c r="Y9" i="4"/>
  <c r="Y12" i="4"/>
  <c r="AK13" i="4"/>
  <c r="AK18" i="4"/>
  <c r="AU20" i="4"/>
  <c r="AU26" i="4"/>
  <c r="AU27" i="4"/>
  <c r="BE29" i="4"/>
  <c r="Y8" i="4"/>
  <c r="BE13" i="4"/>
  <c r="BS20" i="4"/>
  <c r="BE25" i="4"/>
  <c r="AU28" i="4"/>
  <c r="AE15" i="4"/>
  <c r="BT15" i="4" s="1"/>
  <c r="BT19" i="4"/>
  <c r="BT20" i="4"/>
  <c r="BS26" i="4"/>
  <c r="AD34" i="4"/>
  <c r="BS17" i="4"/>
  <c r="AK27" i="4"/>
  <c r="AK10" i="4"/>
  <c r="Y20" i="4"/>
  <c r="BS21" i="4"/>
  <c r="Y26" i="4"/>
  <c r="BE27" i="4"/>
  <c r="BS28" i="4"/>
  <c r="AW34" i="4"/>
  <c r="BS11" i="4"/>
  <c r="AU19" i="4"/>
  <c r="BS29" i="4"/>
  <c r="BE7" i="4"/>
  <c r="BE11" i="4"/>
  <c r="AU14" i="4"/>
  <c r="BE15" i="4"/>
  <c r="Y21" i="4"/>
  <c r="BE22" i="4"/>
  <c r="AY34" i="4"/>
  <c r="BP34" i="4"/>
  <c r="BE9" i="4"/>
  <c r="AU10" i="4"/>
  <c r="Y14" i="4"/>
  <c r="BT23" i="4"/>
  <c r="BS23" i="4"/>
  <c r="BT7" i="4"/>
  <c r="AZ34" i="4"/>
  <c r="BT10" i="4"/>
  <c r="BI34" i="4"/>
  <c r="AK15" i="4"/>
  <c r="BE16" i="4"/>
  <c r="BT17" i="4"/>
  <c r="BE20" i="4"/>
  <c r="Y22" i="4"/>
  <c r="AK23" i="4"/>
  <c r="BE23" i="4"/>
  <c r="BT27" i="4"/>
  <c r="BS27" i="4"/>
  <c r="Y30" i="4"/>
  <c r="BU30" i="4" s="1"/>
  <c r="BV30" i="4" s="1"/>
  <c r="BT21" i="4"/>
  <c r="BT25" i="4"/>
  <c r="BT31" i="4"/>
  <c r="BS31" i="4"/>
  <c r="BS25" i="4"/>
  <c r="BQ34" i="4"/>
  <c r="BR34" i="4"/>
  <c r="BG34" i="4"/>
  <c r="BS15" i="4"/>
  <c r="Y17" i="4"/>
  <c r="BE17" i="4"/>
  <c r="BE28" i="4"/>
  <c r="AU29" i="4"/>
  <c r="AK31" i="4"/>
  <c r="BE31" i="4"/>
  <c r="Y19" i="4"/>
  <c r="BT9" i="4"/>
  <c r="BS13" i="4"/>
  <c r="BT14" i="4"/>
  <c r="AA34" i="4"/>
  <c r="AQ34" i="4"/>
  <c r="BS8" i="4"/>
  <c r="AU9" i="4"/>
  <c r="BE10" i="4"/>
  <c r="BT11" i="4"/>
  <c r="Y13" i="4"/>
  <c r="BT16" i="4"/>
  <c r="AU16" i="4"/>
  <c r="BT18" i="4"/>
  <c r="BS18" i="4"/>
  <c r="BS19" i="4"/>
  <c r="AK22" i="4"/>
  <c r="AU23" i="4"/>
  <c r="BT26" i="4"/>
  <c r="Z34" i="4"/>
  <c r="AB34" i="4"/>
  <c r="AU7" i="4"/>
  <c r="BJ34" i="4"/>
  <c r="AU8" i="4"/>
  <c r="BE14" i="4"/>
  <c r="AU15" i="4"/>
  <c r="BS16" i="4"/>
  <c r="BE18" i="4"/>
  <c r="BE19" i="4"/>
  <c r="BT22" i="4"/>
  <c r="BS22" i="4"/>
  <c r="Y28" i="4"/>
  <c r="S35" i="4"/>
  <c r="BS9" i="4"/>
  <c r="AP34" i="4"/>
  <c r="AN34" i="4"/>
  <c r="BN34" i="4"/>
  <c r="AL34" i="4"/>
  <c r="AV34" i="4"/>
  <c r="K34" i="4"/>
  <c r="BS7" i="4"/>
  <c r="BT28" i="4"/>
  <c r="BF34" i="4"/>
  <c r="AE8" i="4"/>
  <c r="BT8" i="4" s="1"/>
  <c r="BO34" i="4"/>
  <c r="BS14" i="4"/>
  <c r="BU12" i="4" l="1"/>
  <c r="BV12" i="4" s="1"/>
  <c r="BU29" i="4"/>
  <c r="BV29" i="4" s="1"/>
  <c r="AM34" i="4"/>
  <c r="BU20" i="4"/>
  <c r="BV20" i="4" s="1"/>
  <c r="BU18" i="4"/>
  <c r="BV18" i="4" s="1"/>
  <c r="BU25" i="4"/>
  <c r="BV25" i="4" s="1"/>
  <c r="BU11" i="4"/>
  <c r="BV11" i="4" s="1"/>
  <c r="BU28" i="4"/>
  <c r="BV28" i="4" s="1"/>
  <c r="BU16" i="4"/>
  <c r="BV16" i="4" s="1"/>
  <c r="BU21" i="4"/>
  <c r="BV21" i="4" s="1"/>
  <c r="BU15" i="4"/>
  <c r="BV15" i="4" s="1"/>
  <c r="BU27" i="4"/>
  <c r="BV27" i="4" s="1"/>
  <c r="BU9" i="4"/>
  <c r="BU10" i="4"/>
  <c r="BV10" i="4" s="1"/>
  <c r="AK34" i="4"/>
  <c r="BU26" i="4"/>
  <c r="BV26" i="4" s="1"/>
  <c r="AU34" i="4"/>
  <c r="BU23" i="4"/>
  <c r="BV23" i="4" s="1"/>
  <c r="BU22" i="4"/>
  <c r="BV22" i="4" s="1"/>
  <c r="BU19" i="4"/>
  <c r="BV19" i="4" s="1"/>
  <c r="BU7" i="4"/>
  <c r="BV7" i="4" s="1"/>
  <c r="BU8" i="4"/>
  <c r="BV8" i="4" s="1"/>
  <c r="BU31" i="4"/>
  <c r="BV31" i="4" s="1"/>
  <c r="BU14" i="4"/>
  <c r="BV14" i="4" s="1"/>
  <c r="AE34" i="4"/>
  <c r="BU17" i="4"/>
  <c r="BV17" i="4" s="1"/>
  <c r="BE34" i="4"/>
  <c r="Y34" i="4"/>
  <c r="BS34" i="4"/>
  <c r="BT34" i="4"/>
  <c r="BU34" i="4" l="1"/>
  <c r="BV3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Kubíková Renata</author>
  </authors>
  <commentList>
    <comment ref="AL18" authorId="0" shapeId="0" xr:uid="{10360202-0839-497E-B95D-78C617577CF0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závazek </t>
        </r>
      </text>
    </comment>
  </commentList>
</comments>
</file>

<file path=xl/sharedStrings.xml><?xml version="1.0" encoding="utf-8"?>
<sst xmlns="http://schemas.openxmlformats.org/spreadsheetml/2006/main" count="295" uniqueCount="117">
  <si>
    <t>ROZPOČET AKCE (v tis. Kč)</t>
  </si>
  <si>
    <t>vlastní zdroje MSK</t>
  </si>
  <si>
    <t>úvěr ČS,a.s.</t>
  </si>
  <si>
    <t>Fond pro financování strategických projektů</t>
  </si>
  <si>
    <t>§</t>
  </si>
  <si>
    <t>POL.</t>
  </si>
  <si>
    <t>Kategorie</t>
  </si>
  <si>
    <t>Odvětví</t>
  </si>
  <si>
    <t xml:space="preserve">KRAJ,    
DOTACE  K/D              </t>
  </si>
  <si>
    <t>ORJ</t>
  </si>
  <si>
    <t>Název akce</t>
  </si>
  <si>
    <t xml:space="preserve">ORG         </t>
  </si>
  <si>
    <t>Rok nákladu &lt; 2022</t>
  </si>
  <si>
    <t>VÝDAJE</t>
  </si>
  <si>
    <t>ZÁVAZKY</t>
  </si>
  <si>
    <t>Jiné zdroje -  vlastní zdroje PO, plánovaný příjem u akcí "ISPROFIN" příp. dotace EU před revizí / zdroje PO před revizí</t>
  </si>
  <si>
    <t>Jiné zdroje -  vlastní zdroje PO, plánovaný příjem u akcí "ISPROFIN" příp. dotace EU před revizí / zdroje PO po revizi</t>
  </si>
  <si>
    <t>Celkové výdaje na akci před revizí</t>
  </si>
  <si>
    <t>Celkové výdaje na akci po revizi</t>
  </si>
  <si>
    <t xml:space="preserve">ÚPRAVA ROZPOČTU - revize </t>
  </si>
  <si>
    <t>ROK 2023 PŘED REVIZÍ</t>
  </si>
  <si>
    <t>ROK 2023 PO REVIZI výstup</t>
  </si>
  <si>
    <t>ROK 2024 PŘED REVIZÍ</t>
  </si>
  <si>
    <t>ROK 2024 PO REVIZI</t>
  </si>
  <si>
    <t>ROK 2025 PŘED REVIZÍ</t>
  </si>
  <si>
    <t>ROK 2025 PO REVIZI</t>
  </si>
  <si>
    <t>ROK 2026-2027 PŘED REVIZÍ</t>
  </si>
  <si>
    <t>ROK 2026-2027 PO REVIZÍ</t>
  </si>
  <si>
    <t>Z TOHO</t>
  </si>
  <si>
    <t>Závazný ukazatel v Kč</t>
  </si>
  <si>
    <t>ROZDÍL CELKEM</t>
  </si>
  <si>
    <t>Závazný ukazatel - změna o částku v Kč</t>
  </si>
  <si>
    <t>CELKEM upravený rozpočet</t>
  </si>
  <si>
    <t>CELKEM schválený závazek</t>
  </si>
  <si>
    <t>NÁVRH závazku po revizi</t>
  </si>
  <si>
    <t>typ úpravy</t>
  </si>
  <si>
    <t>vlastní zdroje z rozpočtu  MSK</t>
  </si>
  <si>
    <t>úvěr UCB</t>
  </si>
  <si>
    <t>státní dotace -jiné zdroje aj. 2023 není závazek</t>
  </si>
  <si>
    <t>státní dotace aj. 2024 není závazek</t>
  </si>
  <si>
    <t xml:space="preserve">státní dotace aj. 2024 </t>
  </si>
  <si>
    <t xml:space="preserve">státní dotace aj. 2025 </t>
  </si>
  <si>
    <t xml:space="preserve">státní dotace aj. 2026-27 </t>
  </si>
  <si>
    <t>K</t>
  </si>
  <si>
    <t>x</t>
  </si>
  <si>
    <t>Zámek Bruntál - revitalizace objektu (Muzeum v Bruntále, příspěvková organizace)</t>
  </si>
  <si>
    <t>Rozšíření a modernizace prostor školy (Základní škola a Mateřska škola Motýlek, Kopřivnice, Smetanova 1122, příspěvkové organizace)</t>
  </si>
  <si>
    <t>Rekonstrukce sportovní haly včetně zázemí (Střední průmyslová škola, Obchodní akademie a Jazyková škola s právem státní jazykové zkoušky, Frýdek-Místek, příspěvková organizace)</t>
  </si>
  <si>
    <t>D</t>
  </si>
  <si>
    <t>Magnetická rezonance (Nemocnice s poliklinikou Karviná-Ráj, příspěvková organizace)</t>
  </si>
  <si>
    <t>Rekonstrukce objektu SŠ a domova mládeže (Střední škola společného stravování, Ostrava-Hrabůvka, příspěvková organizace)</t>
  </si>
  <si>
    <t>Rekonstrukce budovy na ulici Praskova čp. 411 v Opavě (Základní škola, Opava, Havlíčkova 1, příspěvková organizace)</t>
  </si>
  <si>
    <t>navýšení závazku</t>
  </si>
  <si>
    <t xml:space="preserve">Rekonstrukce dětského oddělení vč. DIP  (Nemocnice ve Frýdku - Místku, příspěvková organizace) </t>
  </si>
  <si>
    <t>Žerotínský zámek - revitalizace objektu (Muzeum Novojičínska, příspěvková organizace)</t>
  </si>
  <si>
    <t>Využití objektu v Bílé (Vzdělávací a sportovní centrum, Bílá, příspěvková organizace)</t>
  </si>
  <si>
    <t>CELKEM</t>
  </si>
  <si>
    <t>Celková změna rozpočtu 2022</t>
  </si>
  <si>
    <t>*</t>
  </si>
  <si>
    <t>z toho změna rozpočtu vlastních zdrojů</t>
  </si>
  <si>
    <t>z toho změna financování z úvěru pro rok 2022</t>
  </si>
  <si>
    <t>Kategorie změn:</t>
  </si>
  <si>
    <t>Zámek Nová Horka - dobudování infrastruktury (Muzeum Novojičínska, příspěvková organizace)</t>
  </si>
  <si>
    <t>Stavební úpravy části školy pro potřeby Vzdělávacího a výcvikového střediska a umístění sídla Správy silnic MSK v Ostravě-Zábřeh (Střední škola stavební a dřevozpracující, Ostrava, příspěvková organizace)</t>
  </si>
  <si>
    <t>Rekonstrukce střechy a zateplení fasády (Gymnázium Třinec, příspěvková organizace)</t>
  </si>
  <si>
    <t>Celková oprava střechy (Dětský domov a Školní jídelna, Radkov-Dubová 141, příspěvková organizace)</t>
  </si>
  <si>
    <t>Výměna střešní krytiny (Albrechtova střední škola, Český Těšín, příspěvková organizace)</t>
  </si>
  <si>
    <t>Odstranění vlhkosti zdiva (Základní škola, Ostrava-Mariánské Hory, Karasova 6, příspěvková organizace)</t>
  </si>
  <si>
    <t>Přístavba tělocvičny (Gymnázium, Třinec, přípspěvková organizace)</t>
  </si>
  <si>
    <t>Pavilon C - stavební úpravy a přístavba rehabilitace (Sdružené zdravotnické zařízení Krnov, příspěvková organizace)</t>
  </si>
  <si>
    <t>Rekonstrukce vestibulu - Karviná (Nemocnice s poliklinikou Karviná-Ráj, příspěvková organizace)</t>
  </si>
  <si>
    <t>Město Albrechtice - stavební úpravy budovy OOP (Sdružené zdravotnické zařízení Krnov, příspěvková organizace)</t>
  </si>
  <si>
    <t>JIP pro dětské pacienty - výstavba objektu včetně zdravotní techniky (Nemocnice Havířov, příspěvková organizace)</t>
  </si>
  <si>
    <t>Pavilon T - stavební úpravy a přístavba odd. onkologie  (Slezská nemocnice v Opavě, příspěvková organizace)</t>
  </si>
  <si>
    <t>Pavilon L - stavební úpravy (Slezská nemocnice v Opavě, příspěvková organizace)</t>
  </si>
  <si>
    <t>KULT</t>
  </si>
  <si>
    <t>ŠMS</t>
  </si>
  <si>
    <t>ZDR</t>
  </si>
  <si>
    <t>Závazný ukazatel v Kč změna o částku ve sloupci…</t>
  </si>
  <si>
    <t>Pozn.</t>
  </si>
  <si>
    <t>IR</t>
  </si>
  <si>
    <t>KOC</t>
  </si>
  <si>
    <t>KORB</t>
  </si>
  <si>
    <t>přesun úvěr</t>
  </si>
  <si>
    <t>BĚL</t>
  </si>
  <si>
    <t>CHLUM</t>
  </si>
  <si>
    <t>LEDV</t>
  </si>
  <si>
    <t>Štěp</t>
  </si>
  <si>
    <t>KOLL</t>
  </si>
  <si>
    <t>budou platit jen PD</t>
  </si>
  <si>
    <t>navýšíme</t>
  </si>
  <si>
    <t>Fáb</t>
  </si>
  <si>
    <t>Neu</t>
  </si>
  <si>
    <t>navýšení akce</t>
  </si>
  <si>
    <t>OK</t>
  </si>
  <si>
    <t>Ok</t>
  </si>
  <si>
    <t>posun v letech</t>
  </si>
  <si>
    <t xml:space="preserve">přesun úvěr </t>
  </si>
  <si>
    <t>posun v letech a navýšení akce</t>
  </si>
  <si>
    <t>ok</t>
  </si>
  <si>
    <t>celkové náklady</t>
  </si>
  <si>
    <t>navýšíme závazek z vlastních MSK</t>
  </si>
  <si>
    <t>navýšit</t>
  </si>
  <si>
    <t>2 - Navýšení finančních prostředků na akci</t>
  </si>
  <si>
    <t>1 - Změna financování akcí reprodukce majetku na rok 2022 změna zdroje financování a změna závazků  Moravskoslezského kraje</t>
  </si>
  <si>
    <t xml:space="preserve">  </t>
  </si>
  <si>
    <t>CELKEM upravený rozpočet k datu:15.08. 2022</t>
  </si>
  <si>
    <t>ROZPOČET 2022 po revizi výstup</t>
  </si>
  <si>
    <t xml:space="preserve">Financování vybraných akcí reprodukce majetku kraje na rok 2022, změna závazků kraje v dalších letech změna financování akcí z úvěru České spořitelny, a.s.  </t>
  </si>
  <si>
    <t>UPRAVENÝ ROZPOČET srpen 22</t>
  </si>
  <si>
    <t>celkem navýšíme ale 231 mil je Bílá - potřeba jiných zdrojů</t>
  </si>
  <si>
    <t>3 - Snížení finančních prostředků na akci</t>
  </si>
  <si>
    <t>Výstavba domova pro seniory a domova se zvláštním režimem Kopřivnice</t>
  </si>
  <si>
    <t>SOC</t>
  </si>
  <si>
    <t>EP</t>
  </si>
  <si>
    <t>Rekonstrukce budovy a spojovací chodby Máchova</t>
  </si>
  <si>
    <t xml:space="preserve">státní dotace aj. 2023 není závazek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</si>
</sst>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1"/>
      <name val="Tahoma"/>
      <family val="2"/>
      <charset val="238"/>
    </font>
    <font>
      <sz val="10"/>
      <name val="Arial"/>
      <family val="2"/>
      <charset val="238"/>
    </font>
    <font>
      <b/>
      <sz val="8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Tahoma"/>
      <family val="2"/>
      <charset val="238"/>
    </font>
    <font>
      <b/>
      <sz val="9"/>
      <color theme="1"/>
      <name val="Tahoma"/>
      <family val="2"/>
      <charset val="238"/>
    </font>
    <font>
      <sz val="7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6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name val="Arial CE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trike/>
      <sz val="8"/>
      <color theme="1"/>
      <name val="Calibri Light"/>
      <family val="2"/>
      <charset val="238"/>
    </font>
    <font>
      <strike/>
      <sz val="8"/>
      <name val="Calibri Light"/>
      <family val="2"/>
      <charset val="238"/>
    </font>
    <font>
      <b/>
      <sz val="9"/>
      <name val="Calibri Light"/>
      <family val="2"/>
      <charset val="238"/>
    </font>
    <font>
      <b/>
      <sz val="8"/>
      <color theme="1"/>
      <name val="Arial"/>
      <family val="2"/>
      <charset val="238"/>
    </font>
    <font>
      <b/>
      <sz val="16"/>
      <color theme="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 tint="-9.9978637043366805E-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6" fillId="0" borderId="0"/>
    <xf numFmtId="0" fontId="21" fillId="0" borderId="0"/>
  </cellStyleXfs>
  <cellXfs count="346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2" borderId="0" xfId="0" applyFill="1"/>
    <xf numFmtId="0" fontId="1" fillId="2" borderId="0" xfId="0" applyFont="1" applyFill="1"/>
    <xf numFmtId="0" fontId="3" fillId="0" borderId="9" xfId="1" applyFont="1" applyBorder="1" applyAlignment="1" applyProtection="1">
      <alignment horizontal="center" vertical="center" textRotation="90" wrapText="1"/>
      <protection locked="0"/>
    </xf>
    <xf numFmtId="49" fontId="4" fillId="0" borderId="2" xfId="2" applyNumberFormat="1" applyFont="1" applyBorder="1" applyAlignment="1">
      <alignment horizontal="center" vertical="center"/>
    </xf>
    <xf numFmtId="0" fontId="3" fillId="0" borderId="15" xfId="1" applyFont="1" applyBorder="1" applyAlignment="1" applyProtection="1">
      <alignment horizontal="center" vertical="center" textRotation="90" wrapText="1"/>
      <protection locked="0"/>
    </xf>
    <xf numFmtId="4" fontId="13" fillId="4" borderId="31" xfId="0" applyNumberFormat="1" applyFont="1" applyFill="1" applyBorder="1" applyAlignment="1">
      <alignment horizontal="right" vertical="center"/>
    </xf>
    <xf numFmtId="4" fontId="9" fillId="0" borderId="9" xfId="1" applyNumberFormat="1" applyFont="1" applyBorder="1" applyAlignment="1" applyProtection="1">
      <alignment horizontal="right" vertical="center" wrapText="1" shrinkToFit="1"/>
      <protection locked="0"/>
    </xf>
    <xf numFmtId="4" fontId="13" fillId="4" borderId="31" xfId="0" applyNumberFormat="1" applyFont="1" applyFill="1" applyBorder="1" applyAlignment="1">
      <alignment vertical="center"/>
    </xf>
    <xf numFmtId="4" fontId="9" fillId="4" borderId="9" xfId="0" applyNumberFormat="1" applyFont="1" applyFill="1" applyBorder="1" applyAlignment="1">
      <alignment vertical="center"/>
    </xf>
    <xf numFmtId="4" fontId="9" fillId="4" borderId="33" xfId="0" applyNumberFormat="1" applyFont="1" applyFill="1" applyBorder="1" applyAlignment="1">
      <alignment vertical="center"/>
    </xf>
    <xf numFmtId="4" fontId="13" fillId="2" borderId="31" xfId="0" applyNumberFormat="1" applyFont="1" applyFill="1" applyBorder="1" applyAlignment="1">
      <alignment vertical="center"/>
    </xf>
    <xf numFmtId="4" fontId="13" fillId="5" borderId="31" xfId="0" applyNumberFormat="1" applyFont="1" applyFill="1" applyBorder="1" applyAlignment="1">
      <alignment vertical="center"/>
    </xf>
    <xf numFmtId="4" fontId="9" fillId="2" borderId="31" xfId="0" applyNumberFormat="1" applyFont="1" applyFill="1" applyBorder="1" applyAlignment="1">
      <alignment vertical="center"/>
    </xf>
    <xf numFmtId="4" fontId="8" fillId="0" borderId="0" xfId="0" applyNumberFormat="1" applyFont="1"/>
    <xf numFmtId="0" fontId="8" fillId="0" borderId="0" xfId="0" applyFont="1"/>
    <xf numFmtId="0" fontId="8" fillId="0" borderId="35" xfId="0" applyFont="1" applyBorder="1" applyAlignment="1">
      <alignment horizontal="center" vertical="center"/>
    </xf>
    <xf numFmtId="0" fontId="9" fillId="0" borderId="15" xfId="1" applyFont="1" applyBorder="1" applyAlignment="1" applyProtection="1">
      <alignment horizontal="center" vertical="center" wrapText="1"/>
      <protection locked="0"/>
    </xf>
    <xf numFmtId="0" fontId="9" fillId="2" borderId="15" xfId="1" applyFont="1" applyFill="1" applyBorder="1" applyAlignment="1" applyProtection="1">
      <alignment horizontal="center" vertical="center" wrapText="1"/>
      <protection locked="0"/>
    </xf>
    <xf numFmtId="0" fontId="10" fillId="0" borderId="27" xfId="1" applyFont="1" applyBorder="1" applyAlignment="1" applyProtection="1">
      <alignment horizontal="center" vertical="center" wrapText="1"/>
      <protection locked="0"/>
    </xf>
    <xf numFmtId="4" fontId="12" fillId="2" borderId="16" xfId="0" applyNumberFormat="1" applyFont="1" applyFill="1" applyBorder="1"/>
    <xf numFmtId="4" fontId="13" fillId="4" borderId="35" xfId="0" applyNumberFormat="1" applyFont="1" applyFill="1" applyBorder="1" applyAlignment="1">
      <alignment horizontal="right" vertical="center"/>
    </xf>
    <xf numFmtId="4" fontId="9" fillId="0" borderId="15" xfId="1" applyNumberFormat="1" applyFont="1" applyBorder="1" applyAlignment="1" applyProtection="1">
      <alignment horizontal="right" vertical="center" wrapText="1" shrinkToFit="1"/>
      <protection locked="0"/>
    </xf>
    <xf numFmtId="0" fontId="8" fillId="2" borderId="15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right" vertical="center"/>
    </xf>
    <xf numFmtId="4" fontId="13" fillId="4" borderId="38" xfId="0" applyNumberFormat="1" applyFont="1" applyFill="1" applyBorder="1" applyAlignment="1">
      <alignment vertical="center"/>
    </xf>
    <xf numFmtId="4" fontId="9" fillId="4" borderId="15" xfId="0" applyNumberFormat="1" applyFont="1" applyFill="1" applyBorder="1" applyAlignment="1">
      <alignment vertical="center"/>
    </xf>
    <xf numFmtId="4" fontId="9" fillId="4" borderId="36" xfId="0" applyNumberFormat="1" applyFont="1" applyFill="1" applyBorder="1" applyAlignment="1">
      <alignment vertical="center"/>
    </xf>
    <xf numFmtId="4" fontId="13" fillId="2" borderId="38" xfId="0" applyNumberFormat="1" applyFont="1" applyFill="1" applyBorder="1" applyAlignment="1">
      <alignment vertical="center"/>
    </xf>
    <xf numFmtId="4" fontId="9" fillId="0" borderId="36" xfId="0" applyNumberFormat="1" applyFont="1" applyBorder="1" applyAlignment="1">
      <alignment horizontal="right" vertical="center"/>
    </xf>
    <xf numFmtId="4" fontId="13" fillId="2" borderId="35" xfId="0" applyNumberFormat="1" applyFont="1" applyFill="1" applyBorder="1" applyAlignment="1">
      <alignment vertical="center"/>
    </xf>
    <xf numFmtId="4" fontId="13" fillId="5" borderId="35" xfId="0" applyNumberFormat="1" applyFont="1" applyFill="1" applyBorder="1" applyAlignment="1">
      <alignment vertical="center"/>
    </xf>
    <xf numFmtId="4" fontId="9" fillId="2" borderId="35" xfId="0" applyNumberFormat="1" applyFont="1" applyFill="1" applyBorder="1" applyAlignment="1">
      <alignment vertical="center"/>
    </xf>
    <xf numFmtId="4" fontId="8" fillId="0" borderId="35" xfId="0" applyNumberFormat="1" applyFont="1" applyBorder="1" applyAlignment="1">
      <alignment vertical="center"/>
    </xf>
    <xf numFmtId="4" fontId="14" fillId="4" borderId="36" xfId="0" applyNumberFormat="1" applyFont="1" applyFill="1" applyBorder="1" applyAlignment="1">
      <alignment vertical="center"/>
    </xf>
    <xf numFmtId="0" fontId="15" fillId="0" borderId="16" xfId="1" applyFont="1" applyBorder="1" applyAlignment="1" applyProtection="1">
      <alignment horizontal="center" vertical="center" wrapText="1"/>
      <protection locked="0"/>
    </xf>
    <xf numFmtId="4" fontId="13" fillId="4" borderId="35" xfId="0" applyNumberFormat="1" applyFont="1" applyFill="1" applyBorder="1" applyAlignment="1">
      <alignment vertical="center"/>
    </xf>
    <xf numFmtId="4" fontId="12" fillId="2" borderId="27" xfId="0" applyNumberFormat="1" applyFont="1" applyFill="1" applyBorder="1"/>
    <xf numFmtId="4" fontId="9" fillId="0" borderId="26" xfId="1" applyNumberFormat="1" applyFont="1" applyBorder="1" applyAlignment="1" applyProtection="1">
      <alignment horizontal="right" vertical="center" wrapText="1" shrinkToFit="1"/>
      <protection locked="0"/>
    </xf>
    <xf numFmtId="0" fontId="8" fillId="2" borderId="26" xfId="0" applyFont="1" applyFill="1" applyBorder="1" applyAlignment="1">
      <alignment horizontal="center" vertical="center"/>
    </xf>
    <xf numFmtId="4" fontId="13" fillId="4" borderId="38" xfId="0" applyNumberFormat="1" applyFont="1" applyFill="1" applyBorder="1" applyAlignment="1">
      <alignment horizontal="right" vertical="center"/>
    </xf>
    <xf numFmtId="4" fontId="9" fillId="2" borderId="26" xfId="0" applyNumberFormat="1" applyFont="1" applyFill="1" applyBorder="1" applyAlignment="1">
      <alignment horizontal="right" vertical="center"/>
    </xf>
    <xf numFmtId="4" fontId="9" fillId="0" borderId="39" xfId="0" applyNumberFormat="1" applyFont="1" applyBorder="1" applyAlignment="1">
      <alignment horizontal="right" vertical="center"/>
    </xf>
    <xf numFmtId="4" fontId="9" fillId="4" borderId="26" xfId="0" applyNumberFormat="1" applyFont="1" applyFill="1" applyBorder="1" applyAlignment="1">
      <alignment vertical="center"/>
    </xf>
    <xf numFmtId="4" fontId="9" fillId="4" borderId="39" xfId="0" applyNumberFormat="1" applyFont="1" applyFill="1" applyBorder="1" applyAlignment="1">
      <alignment vertical="center"/>
    </xf>
    <xf numFmtId="4" fontId="13" fillId="5" borderId="38" xfId="0" applyNumberFormat="1" applyFont="1" applyFill="1" applyBorder="1" applyAlignment="1">
      <alignment vertical="center"/>
    </xf>
    <xf numFmtId="4" fontId="8" fillId="0" borderId="38" xfId="0" applyNumberFormat="1" applyFont="1" applyBorder="1" applyAlignment="1">
      <alignment vertical="center"/>
    </xf>
    <xf numFmtId="4" fontId="14" fillId="4" borderId="39" xfId="0" applyNumberFormat="1" applyFont="1" applyFill="1" applyBorder="1" applyAlignment="1">
      <alignment vertical="center"/>
    </xf>
    <xf numFmtId="4" fontId="9" fillId="4" borderId="41" xfId="0" applyNumberFormat="1" applyFont="1" applyFill="1" applyBorder="1" applyAlignment="1">
      <alignment vertical="center"/>
    </xf>
    <xf numFmtId="4" fontId="9" fillId="4" borderId="43" xfId="0" applyNumberFormat="1" applyFont="1" applyFill="1" applyBorder="1" applyAlignment="1">
      <alignment vertical="center"/>
    </xf>
    <xf numFmtId="4" fontId="12" fillId="2" borderId="30" xfId="0" applyNumberFormat="1" applyFont="1" applyFill="1" applyBorder="1"/>
    <xf numFmtId="4" fontId="13" fillId="4" borderId="48" xfId="0" applyNumberFormat="1" applyFont="1" applyFill="1" applyBorder="1" applyAlignment="1">
      <alignment horizontal="right" vertical="center"/>
    </xf>
    <xf numFmtId="4" fontId="9" fillId="2" borderId="29" xfId="0" applyNumberFormat="1" applyFont="1" applyFill="1" applyBorder="1" applyAlignment="1">
      <alignment horizontal="right" vertical="center"/>
    </xf>
    <xf numFmtId="4" fontId="9" fillId="4" borderId="29" xfId="0" applyNumberFormat="1" applyFont="1" applyFill="1" applyBorder="1" applyAlignment="1">
      <alignment vertical="center"/>
    </xf>
    <xf numFmtId="4" fontId="9" fillId="0" borderId="49" xfId="0" applyNumberFormat="1" applyFont="1" applyBorder="1" applyAlignment="1">
      <alignment horizontal="right" vertical="center"/>
    </xf>
    <xf numFmtId="4" fontId="13" fillId="2" borderId="48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4" fontId="13" fillId="5" borderId="48" xfId="0" applyNumberFormat="1" applyFont="1" applyFill="1" applyBorder="1" applyAlignment="1">
      <alignment vertical="center"/>
    </xf>
    <xf numFmtId="4" fontId="8" fillId="0" borderId="48" xfId="0" applyNumberFormat="1" applyFont="1" applyBorder="1" applyAlignment="1">
      <alignment vertical="center"/>
    </xf>
    <xf numFmtId="4" fontId="14" fillId="4" borderId="49" xfId="0" applyNumberFormat="1" applyFont="1" applyFill="1" applyBorder="1" applyAlignment="1">
      <alignment vertical="center"/>
    </xf>
    <xf numFmtId="4" fontId="9" fillId="2" borderId="30" xfId="0" applyNumberFormat="1" applyFont="1" applyFill="1" applyBorder="1" applyAlignment="1">
      <alignment horizontal="right" vertical="center"/>
    </xf>
    <xf numFmtId="49" fontId="5" fillId="0" borderId="0" xfId="0" applyNumberFormat="1" applyFont="1" applyAlignment="1">
      <alignment horizontal="left"/>
    </xf>
    <xf numFmtId="0" fontId="16" fillId="0" borderId="0" xfId="0" applyFont="1"/>
    <xf numFmtId="4" fontId="5" fillId="4" borderId="25" xfId="0" applyNumberFormat="1" applyFont="1" applyFill="1" applyBorder="1" applyAlignment="1">
      <alignment vertical="center"/>
    </xf>
    <xf numFmtId="4" fontId="5" fillId="4" borderId="26" xfId="0" applyNumberFormat="1" applyFont="1" applyFill="1" applyBorder="1" applyAlignment="1">
      <alignment vertical="center"/>
    </xf>
    <xf numFmtId="4" fontId="5" fillId="4" borderId="27" xfId="0" applyNumberFormat="1" applyFont="1" applyFill="1" applyBorder="1" applyAlignment="1">
      <alignment vertical="center"/>
    </xf>
    <xf numFmtId="4" fontId="5" fillId="4" borderId="39" xfId="0" applyNumberFormat="1" applyFont="1" applyFill="1" applyBorder="1" applyAlignment="1">
      <alignment vertical="center"/>
    </xf>
    <xf numFmtId="4" fontId="0" fillId="0" borderId="0" xfId="0" applyNumberFormat="1"/>
    <xf numFmtId="0" fontId="5" fillId="4" borderId="14" xfId="0" applyFont="1" applyFill="1" applyBorder="1" applyAlignment="1">
      <alignment vertical="center"/>
    </xf>
    <xf numFmtId="4" fontId="5" fillId="4" borderId="15" xfId="0" applyNumberFormat="1" applyFont="1" applyFill="1" applyBorder="1" applyAlignment="1">
      <alignment vertical="center"/>
    </xf>
    <xf numFmtId="4" fontId="5" fillId="4" borderId="16" xfId="0" applyNumberFormat="1" applyFont="1" applyFill="1" applyBorder="1" applyAlignment="1">
      <alignment vertical="center"/>
    </xf>
    <xf numFmtId="4" fontId="5" fillId="4" borderId="36" xfId="0" applyNumberFormat="1" applyFont="1" applyFill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4" fontId="5" fillId="4" borderId="29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/>
    <xf numFmtId="4" fontId="12" fillId="0" borderId="15" xfId="0" applyNumberFormat="1" applyFont="1" applyBorder="1"/>
    <xf numFmtId="0" fontId="11" fillId="0" borderId="16" xfId="0" applyFont="1" applyBorder="1"/>
    <xf numFmtId="0" fontId="11" fillId="0" borderId="30" xfId="0" applyFont="1" applyBorder="1"/>
    <xf numFmtId="4" fontId="8" fillId="6" borderId="0" xfId="0" applyNumberFormat="1" applyFont="1" applyFill="1"/>
    <xf numFmtId="0" fontId="8" fillId="6" borderId="0" xfId="0" applyFont="1" applyFill="1"/>
    <xf numFmtId="0" fontId="10" fillId="7" borderId="27" xfId="1" applyFont="1" applyFill="1" applyBorder="1" applyAlignment="1" applyProtection="1">
      <alignment horizontal="center" vertical="center" wrapText="1"/>
      <protection locked="0"/>
    </xf>
    <xf numFmtId="0" fontId="0" fillId="6" borderId="0" xfId="0" applyFill="1"/>
    <xf numFmtId="0" fontId="7" fillId="4" borderId="15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2" fillId="0" borderId="15" xfId="4" applyFont="1" applyBorder="1" applyAlignment="1">
      <alignment horizontal="center" vertical="center"/>
    </xf>
    <xf numFmtId="0" fontId="23" fillId="0" borderId="15" xfId="4" applyFont="1" applyBorder="1" applyAlignment="1">
      <alignment horizontal="center" vertical="center"/>
    </xf>
    <xf numFmtId="0" fontId="5" fillId="4" borderId="11" xfId="0" applyFont="1" applyFill="1" applyBorder="1" applyAlignment="1">
      <alignment vertical="center"/>
    </xf>
    <xf numFmtId="0" fontId="5" fillId="4" borderId="62" xfId="0" applyFont="1" applyFill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10" fillId="0" borderId="47" xfId="1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/>
    <xf numFmtId="4" fontId="12" fillId="0" borderId="26" xfId="0" applyNumberFormat="1" applyFont="1" applyBorder="1"/>
    <xf numFmtId="4" fontId="9" fillId="2" borderId="38" xfId="0" applyNumberFormat="1" applyFont="1" applyFill="1" applyBorder="1" applyAlignment="1">
      <alignment vertical="center"/>
    </xf>
    <xf numFmtId="4" fontId="13" fillId="4" borderId="40" xfId="0" applyNumberFormat="1" applyFont="1" applyFill="1" applyBorder="1" applyAlignment="1">
      <alignment vertical="center"/>
    </xf>
    <xf numFmtId="0" fontId="12" fillId="2" borderId="15" xfId="0" applyFont="1" applyFill="1" applyBorder="1"/>
    <xf numFmtId="0" fontId="12" fillId="0" borderId="15" xfId="0" applyFont="1" applyBorder="1"/>
    <xf numFmtId="0" fontId="12" fillId="2" borderId="29" xfId="0" applyFont="1" applyFill="1" applyBorder="1"/>
    <xf numFmtId="0" fontId="12" fillId="2" borderId="26" xfId="0" applyFont="1" applyFill="1" applyBorder="1"/>
    <xf numFmtId="4" fontId="12" fillId="0" borderId="15" xfId="0" applyNumberFormat="1" applyFont="1" applyBorder="1" applyAlignment="1">
      <alignment vertical="center"/>
    </xf>
    <xf numFmtId="0" fontId="8" fillId="2" borderId="38" xfId="0" applyFont="1" applyFill="1" applyBorder="1" applyAlignment="1">
      <alignment horizontal="center" vertical="center"/>
    </xf>
    <xf numFmtId="0" fontId="9" fillId="0" borderId="26" xfId="1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9" fillId="2" borderId="29" xfId="1" applyFont="1" applyFill="1" applyBorder="1" applyAlignment="1" applyProtection="1">
      <alignment horizontal="center" vertical="center" wrapText="1"/>
      <protection locked="0"/>
    </xf>
    <xf numFmtId="0" fontId="9" fillId="2" borderId="26" xfId="1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/>
    <xf numFmtId="4" fontId="25" fillId="2" borderId="16" xfId="0" applyNumberFormat="1" applyFont="1" applyFill="1" applyBorder="1"/>
    <xf numFmtId="0" fontId="12" fillId="0" borderId="26" xfId="0" applyFont="1" applyBorder="1" applyAlignment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15" fillId="0" borderId="27" xfId="1" applyFont="1" applyBorder="1" applyAlignment="1" applyProtection="1">
      <alignment horizontal="center" vertical="center" wrapText="1"/>
      <protection locked="0"/>
    </xf>
    <xf numFmtId="0" fontId="11" fillId="0" borderId="47" xfId="0" applyFont="1" applyBorder="1"/>
    <xf numFmtId="4" fontId="9" fillId="2" borderId="47" xfId="0" applyNumberFormat="1" applyFont="1" applyFill="1" applyBorder="1" applyAlignment="1">
      <alignment horizontal="right" vertical="center"/>
    </xf>
    <xf numFmtId="0" fontId="3" fillId="0" borderId="41" xfId="1" applyFont="1" applyBorder="1" applyAlignment="1" applyProtection="1">
      <alignment horizontal="center" vertical="center" textRotation="90" wrapText="1"/>
      <protection locked="0"/>
    </xf>
    <xf numFmtId="4" fontId="7" fillId="0" borderId="40" xfId="2" applyNumberFormat="1" applyFont="1" applyBorder="1" applyAlignment="1">
      <alignment horizontal="center" vertical="center" wrapText="1"/>
    </xf>
    <xf numFmtId="4" fontId="7" fillId="0" borderId="41" xfId="2" applyNumberFormat="1" applyFont="1" applyBorder="1" applyAlignment="1">
      <alignment horizontal="center" vertical="center" wrapText="1"/>
    </xf>
    <xf numFmtId="4" fontId="7" fillId="2" borderId="41" xfId="2" applyNumberFormat="1" applyFont="1" applyFill="1" applyBorder="1" applyAlignment="1">
      <alignment horizontal="center" vertical="center" wrapText="1"/>
    </xf>
    <xf numFmtId="4" fontId="7" fillId="2" borderId="42" xfId="2" applyNumberFormat="1" applyFont="1" applyFill="1" applyBorder="1" applyAlignment="1">
      <alignment horizontal="center" vertical="center" wrapText="1"/>
    </xf>
    <xf numFmtId="4" fontId="7" fillId="3" borderId="59" xfId="2" applyNumberFormat="1" applyFont="1" applyFill="1" applyBorder="1" applyAlignment="1">
      <alignment horizontal="center" vertical="center" wrapText="1"/>
    </xf>
    <xf numFmtId="4" fontId="7" fillId="3" borderId="42" xfId="2" applyNumberFormat="1" applyFont="1" applyFill="1" applyBorder="1" applyAlignment="1">
      <alignment horizontal="center" vertical="center" wrapText="1"/>
    </xf>
    <xf numFmtId="4" fontId="7" fillId="3" borderId="41" xfId="2" applyNumberFormat="1" applyFont="1" applyFill="1" applyBorder="1" applyAlignment="1">
      <alignment horizontal="center" vertical="center" wrapText="1"/>
    </xf>
    <xf numFmtId="4" fontId="7" fillId="3" borderId="43" xfId="2" applyNumberFormat="1" applyFont="1" applyFill="1" applyBorder="1" applyAlignment="1">
      <alignment horizontal="center" vertical="center" wrapText="1"/>
    </xf>
    <xf numFmtId="4" fontId="7" fillId="0" borderId="42" xfId="2" applyNumberFormat="1" applyFont="1" applyBorder="1" applyAlignment="1">
      <alignment horizontal="center" vertical="center" wrapText="1"/>
    </xf>
    <xf numFmtId="0" fontId="12" fillId="0" borderId="26" xfId="0" applyFont="1" applyBorder="1"/>
    <xf numFmtId="0" fontId="9" fillId="2" borderId="64" xfId="1" applyFont="1" applyFill="1" applyBorder="1" applyAlignment="1" applyProtection="1">
      <alignment horizontal="center" vertical="center" wrapText="1"/>
      <protection locked="0"/>
    </xf>
    <xf numFmtId="0" fontId="10" fillId="0" borderId="65" xfId="1" applyFont="1" applyBorder="1" applyAlignment="1" applyProtection="1">
      <alignment horizontal="center" vertical="center" wrapText="1"/>
      <protection locked="0"/>
    </xf>
    <xf numFmtId="0" fontId="11" fillId="0" borderId="64" xfId="0" applyFont="1" applyBorder="1" applyAlignment="1">
      <alignment horizontal="center" vertical="center"/>
    </xf>
    <xf numFmtId="0" fontId="12" fillId="2" borderId="64" xfId="0" applyFont="1" applyFill="1" applyBorder="1"/>
    <xf numFmtId="0" fontId="11" fillId="0" borderId="65" xfId="0" applyFont="1" applyBorder="1"/>
    <xf numFmtId="4" fontId="12" fillId="2" borderId="65" xfId="0" applyNumberFormat="1" applyFont="1" applyFill="1" applyBorder="1"/>
    <xf numFmtId="4" fontId="12" fillId="0" borderId="64" xfId="0" applyNumberFormat="1" applyFont="1" applyBorder="1"/>
    <xf numFmtId="0" fontId="23" fillId="0" borderId="64" xfId="4" applyFont="1" applyBorder="1" applyAlignment="1">
      <alignment horizontal="center" vertical="center"/>
    </xf>
    <xf numFmtId="0" fontId="22" fillId="0" borderId="64" xfId="4" applyFont="1" applyBorder="1" applyAlignment="1">
      <alignment horizontal="center" vertical="center"/>
    </xf>
    <xf numFmtId="4" fontId="13" fillId="4" borderId="63" xfId="0" applyNumberFormat="1" applyFont="1" applyFill="1" applyBorder="1" applyAlignment="1">
      <alignment horizontal="right" vertical="center"/>
    </xf>
    <xf numFmtId="4" fontId="13" fillId="4" borderId="63" xfId="0" applyNumberFormat="1" applyFont="1" applyFill="1" applyBorder="1" applyAlignment="1">
      <alignment vertical="center"/>
    </xf>
    <xf numFmtId="4" fontId="9" fillId="4" borderId="64" xfId="0" applyNumberFormat="1" applyFont="1" applyFill="1" applyBorder="1" applyAlignment="1">
      <alignment vertical="center"/>
    </xf>
    <xf numFmtId="4" fontId="9" fillId="4" borderId="66" xfId="0" applyNumberFormat="1" applyFont="1" applyFill="1" applyBorder="1" applyAlignment="1">
      <alignment vertical="center"/>
    </xf>
    <xf numFmtId="4" fontId="13" fillId="2" borderId="63" xfId="0" applyNumberFormat="1" applyFont="1" applyFill="1" applyBorder="1" applyAlignment="1">
      <alignment vertical="center"/>
    </xf>
    <xf numFmtId="4" fontId="13" fillId="5" borderId="63" xfId="0" applyNumberFormat="1" applyFont="1" applyFill="1" applyBorder="1" applyAlignment="1">
      <alignment vertical="center"/>
    </xf>
    <xf numFmtId="4" fontId="9" fillId="2" borderId="63" xfId="0" applyNumberFormat="1" applyFont="1" applyFill="1" applyBorder="1" applyAlignment="1">
      <alignment vertical="center"/>
    </xf>
    <xf numFmtId="4" fontId="8" fillId="0" borderId="63" xfId="0" applyNumberFormat="1" applyFont="1" applyBorder="1" applyAlignment="1">
      <alignment vertical="center"/>
    </xf>
    <xf numFmtId="4" fontId="14" fillId="4" borderId="66" xfId="0" applyNumberFormat="1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4" fontId="9" fillId="2" borderId="64" xfId="0" applyNumberFormat="1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4" fontId="9" fillId="4" borderId="31" xfId="0" applyNumberFormat="1" applyFont="1" applyFill="1" applyBorder="1" applyAlignment="1">
      <alignment vertical="center"/>
    </xf>
    <xf numFmtId="4" fontId="9" fillId="4" borderId="35" xfId="0" applyNumberFormat="1" applyFont="1" applyFill="1" applyBorder="1" applyAlignment="1">
      <alignment vertical="center"/>
    </xf>
    <xf numFmtId="4" fontId="9" fillId="4" borderId="36" xfId="0" applyNumberFormat="1" applyFont="1" applyFill="1" applyBorder="1" applyAlignment="1">
      <alignment horizontal="center" vertical="center"/>
    </xf>
    <xf numFmtId="4" fontId="13" fillId="2" borderId="36" xfId="0" applyNumberFormat="1" applyFont="1" applyFill="1" applyBorder="1" applyAlignment="1">
      <alignment horizontal="center" vertical="center"/>
    </xf>
    <xf numFmtId="4" fontId="9" fillId="2" borderId="36" xfId="0" applyNumberFormat="1" applyFont="1" applyFill="1" applyBorder="1" applyAlignment="1">
      <alignment horizontal="center" vertical="center"/>
    </xf>
    <xf numFmtId="4" fontId="12" fillId="2" borderId="27" xfId="0" applyNumberFormat="1" applyFont="1" applyFill="1" applyBorder="1" applyAlignment="1">
      <alignment wrapText="1"/>
    </xf>
    <xf numFmtId="4" fontId="12" fillId="2" borderId="16" xfId="0" applyNumberFormat="1" applyFont="1" applyFill="1" applyBorder="1" applyAlignment="1">
      <alignment wrapText="1"/>
    </xf>
    <xf numFmtId="4" fontId="12" fillId="2" borderId="30" xfId="0" applyNumberFormat="1" applyFont="1" applyFill="1" applyBorder="1" applyAlignment="1">
      <alignment wrapText="1"/>
    </xf>
    <xf numFmtId="4" fontId="12" fillId="2" borderId="65" xfId="0" applyNumberFormat="1" applyFont="1" applyFill="1" applyBorder="1" applyAlignment="1">
      <alignment wrapText="1"/>
    </xf>
    <xf numFmtId="0" fontId="5" fillId="4" borderId="26" xfId="0" applyFont="1" applyFill="1" applyBorder="1" applyAlignment="1">
      <alignment vertical="center"/>
    </xf>
    <xf numFmtId="49" fontId="5" fillId="4" borderId="26" xfId="0" applyNumberFormat="1" applyFont="1" applyFill="1" applyBorder="1" applyAlignment="1">
      <alignment horizontal="left"/>
    </xf>
    <xf numFmtId="4" fontId="12" fillId="0" borderId="9" xfId="0" applyNumberFormat="1" applyFont="1" applyBorder="1"/>
    <xf numFmtId="4" fontId="13" fillId="2" borderId="33" xfId="0" applyNumberFormat="1" applyFont="1" applyFill="1" applyBorder="1" applyAlignment="1">
      <alignment horizontal="center" vertical="center"/>
    </xf>
    <xf numFmtId="4" fontId="26" fillId="4" borderId="35" xfId="0" applyNumberFormat="1" applyFont="1" applyFill="1" applyBorder="1" applyAlignment="1">
      <alignment horizontal="right" vertical="center"/>
    </xf>
    <xf numFmtId="0" fontId="10" fillId="2" borderId="47" xfId="1" applyFont="1" applyFill="1" applyBorder="1" applyAlignment="1" applyProtection="1">
      <alignment horizontal="center" vertical="center" wrapText="1"/>
      <protection locked="0"/>
    </xf>
    <xf numFmtId="4" fontId="13" fillId="2" borderId="49" xfId="0" applyNumberFormat="1" applyFont="1" applyFill="1" applyBorder="1" applyAlignment="1">
      <alignment horizontal="center" vertical="center"/>
    </xf>
    <xf numFmtId="4" fontId="13" fillId="4" borderId="48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horizontal="center" vertical="center"/>
    </xf>
    <xf numFmtId="4" fontId="9" fillId="4" borderId="48" xfId="0" applyNumberFormat="1" applyFont="1" applyFill="1" applyBorder="1" applyAlignment="1">
      <alignment vertical="center"/>
    </xf>
    <xf numFmtId="4" fontId="9" fillId="2" borderId="48" xfId="0" applyNumberFormat="1" applyFont="1" applyFill="1" applyBorder="1" applyAlignment="1">
      <alignment vertical="center"/>
    </xf>
    <xf numFmtId="4" fontId="14" fillId="4" borderId="17" xfId="0" applyNumberFormat="1" applyFont="1" applyFill="1" applyBorder="1" applyAlignment="1">
      <alignment vertical="center"/>
    </xf>
    <xf numFmtId="4" fontId="14" fillId="4" borderId="18" xfId="0" applyNumberFormat="1" applyFont="1" applyFill="1" applyBorder="1" applyAlignment="1">
      <alignment vertical="center"/>
    </xf>
    <xf numFmtId="4" fontId="14" fillId="4" borderId="18" xfId="0" applyNumberFormat="1" applyFont="1" applyFill="1" applyBorder="1" applyAlignment="1">
      <alignment horizontal="center" vertical="center"/>
    </xf>
    <xf numFmtId="4" fontId="14" fillId="4" borderId="19" xfId="0" applyNumberFormat="1" applyFont="1" applyFill="1" applyBorder="1" applyAlignment="1">
      <alignment horizontal="center" vertical="center"/>
    </xf>
    <xf numFmtId="4" fontId="14" fillId="4" borderId="19" xfId="0" applyNumberFormat="1" applyFont="1" applyFill="1" applyBorder="1" applyAlignment="1">
      <alignment vertical="center"/>
    </xf>
    <xf numFmtId="0" fontId="27" fillId="2" borderId="26" xfId="0" applyFont="1" applyFill="1" applyBorder="1" applyAlignment="1">
      <alignment wrapText="1"/>
    </xf>
    <xf numFmtId="0" fontId="27" fillId="2" borderId="15" xfId="0" applyFont="1" applyFill="1" applyBorder="1" applyAlignment="1">
      <alignment wrapText="1"/>
    </xf>
    <xf numFmtId="0" fontId="27" fillId="2" borderId="15" xfId="0" applyFont="1" applyFill="1" applyBorder="1" applyAlignment="1">
      <alignment horizontal="left" vertical="center" wrapText="1"/>
    </xf>
    <xf numFmtId="0" fontId="27" fillId="2" borderId="15" xfId="0" applyFont="1" applyFill="1" applyBorder="1" applyAlignment="1">
      <alignment vertical="center" wrapText="1"/>
    </xf>
    <xf numFmtId="0" fontId="27" fillId="2" borderId="29" xfId="0" applyFont="1" applyFill="1" applyBorder="1" applyAlignment="1">
      <alignment wrapText="1"/>
    </xf>
    <xf numFmtId="0" fontId="27" fillId="2" borderId="64" xfId="0" applyFont="1" applyFill="1" applyBorder="1" applyAlignment="1">
      <alignment wrapText="1"/>
    </xf>
    <xf numFmtId="0" fontId="16" fillId="0" borderId="4" xfId="0" applyFont="1" applyBorder="1" applyAlignment="1">
      <alignment vertical="top"/>
    </xf>
    <xf numFmtId="0" fontId="16" fillId="0" borderId="5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5" fillId="6" borderId="3" xfId="0" applyFont="1" applyFill="1" applyBorder="1" applyAlignment="1">
      <alignment vertical="center"/>
    </xf>
    <xf numFmtId="0" fontId="5" fillId="4" borderId="52" xfId="0" applyFont="1" applyFill="1" applyBorder="1" applyAlignment="1">
      <alignment vertical="center"/>
    </xf>
    <xf numFmtId="0" fontId="5" fillId="4" borderId="44" xfId="0" applyFont="1" applyFill="1" applyBorder="1" applyAlignment="1">
      <alignment vertical="center"/>
    </xf>
    <xf numFmtId="0" fontId="5" fillId="4" borderId="58" xfId="0" applyFont="1" applyFill="1" applyBorder="1" applyAlignment="1">
      <alignment vertical="center"/>
    </xf>
    <xf numFmtId="4" fontId="13" fillId="2" borderId="39" xfId="0" applyNumberFormat="1" applyFont="1" applyFill="1" applyBorder="1" applyAlignment="1">
      <alignment horizontal="center" vertical="center"/>
    </xf>
    <xf numFmtId="4" fontId="9" fillId="4" borderId="39" xfId="0" applyNumberFormat="1" applyFont="1" applyFill="1" applyBorder="1" applyAlignment="1">
      <alignment horizontal="center" vertical="center"/>
    </xf>
    <xf numFmtId="4" fontId="9" fillId="4" borderId="38" xfId="0" applyNumberFormat="1" applyFont="1" applyFill="1" applyBorder="1" applyAlignment="1">
      <alignment vertical="center"/>
    </xf>
    <xf numFmtId="0" fontId="8" fillId="0" borderId="64" xfId="0" applyFont="1" applyBorder="1" applyAlignment="1">
      <alignment horizontal="center" vertical="center"/>
    </xf>
    <xf numFmtId="4" fontId="9" fillId="0" borderId="64" xfId="1" applyNumberFormat="1" applyFont="1" applyBorder="1" applyAlignment="1" applyProtection="1">
      <alignment horizontal="right" vertical="center" wrapText="1" shrinkToFit="1"/>
      <protection locked="0"/>
    </xf>
    <xf numFmtId="4" fontId="13" fillId="2" borderId="66" xfId="0" applyNumberFormat="1" applyFont="1" applyFill="1" applyBorder="1" applyAlignment="1">
      <alignment horizontal="center" vertical="center"/>
    </xf>
    <xf numFmtId="4" fontId="9" fillId="2" borderId="66" xfId="0" applyNumberFormat="1" applyFont="1" applyFill="1" applyBorder="1" applyAlignment="1">
      <alignment horizontal="center" vertical="center"/>
    </xf>
    <xf numFmtId="4" fontId="9" fillId="4" borderId="63" xfId="0" applyNumberFormat="1" applyFont="1" applyFill="1" applyBorder="1" applyAlignment="1">
      <alignment vertical="center"/>
    </xf>
    <xf numFmtId="4" fontId="9" fillId="2" borderId="39" xfId="0" applyNumberFormat="1" applyFont="1" applyFill="1" applyBorder="1" applyAlignment="1">
      <alignment horizontal="center" vertical="center"/>
    </xf>
    <xf numFmtId="0" fontId="27" fillId="2" borderId="50" xfId="0" applyFont="1" applyFill="1" applyBorder="1" applyAlignment="1">
      <alignment wrapText="1"/>
    </xf>
    <xf numFmtId="4" fontId="9" fillId="4" borderId="16" xfId="0" applyNumberFormat="1" applyFont="1" applyFill="1" applyBorder="1" applyAlignment="1">
      <alignment vertical="center"/>
    </xf>
    <xf numFmtId="4" fontId="9" fillId="4" borderId="67" xfId="0" applyNumberFormat="1" applyFont="1" applyFill="1" applyBorder="1" applyAlignment="1">
      <alignment vertical="center"/>
    </xf>
    <xf numFmtId="4" fontId="12" fillId="0" borderId="29" xfId="0" applyNumberFormat="1" applyFont="1" applyBorder="1" applyAlignment="1">
      <alignment vertical="center"/>
    </xf>
    <xf numFmtId="4" fontId="9" fillId="4" borderId="66" xfId="0" applyNumberFormat="1" applyFont="1" applyFill="1" applyBorder="1" applyAlignment="1">
      <alignment horizontal="center" vertical="center"/>
    </xf>
    <xf numFmtId="4" fontId="7" fillId="0" borderId="41" xfId="2" applyNumberFormat="1" applyFont="1" applyFill="1" applyBorder="1" applyAlignment="1">
      <alignment horizontal="center" vertical="center" wrapText="1"/>
    </xf>
    <xf numFmtId="4" fontId="9" fillId="4" borderId="32" xfId="0" applyNumberFormat="1" applyFont="1" applyFill="1" applyBorder="1" applyAlignment="1">
      <alignment vertical="center"/>
    </xf>
    <xf numFmtId="4" fontId="9" fillId="4" borderId="65" xfId="0" applyNumberFormat="1" applyFont="1" applyFill="1" applyBorder="1" applyAlignment="1">
      <alignment vertical="center"/>
    </xf>
    <xf numFmtId="4" fontId="9" fillId="4" borderId="27" xfId="0" applyNumberFormat="1" applyFont="1" applyFill="1" applyBorder="1" applyAlignment="1">
      <alignment vertical="center"/>
    </xf>
    <xf numFmtId="4" fontId="9" fillId="2" borderId="50" xfId="0" applyNumberFormat="1" applyFont="1" applyFill="1" applyBorder="1" applyAlignment="1">
      <alignment horizontal="right" vertical="center"/>
    </xf>
    <xf numFmtId="4" fontId="9" fillId="4" borderId="50" xfId="0" applyNumberFormat="1" applyFont="1" applyFill="1" applyBorder="1" applyAlignment="1">
      <alignment vertical="center"/>
    </xf>
    <xf numFmtId="4" fontId="1" fillId="0" borderId="0" xfId="0" applyNumberFormat="1" applyFont="1"/>
    <xf numFmtId="4" fontId="14" fillId="4" borderId="49" xfId="0" applyNumberFormat="1" applyFont="1" applyFill="1" applyBorder="1" applyAlignment="1">
      <alignment horizontal="right" vertical="center"/>
    </xf>
    <xf numFmtId="4" fontId="14" fillId="4" borderId="39" xfId="0" applyNumberFormat="1" applyFont="1" applyFill="1" applyBorder="1" applyAlignment="1">
      <alignment horizontal="right" vertical="center"/>
    </xf>
    <xf numFmtId="4" fontId="8" fillId="0" borderId="48" xfId="0" applyNumberFormat="1" applyFont="1" applyBorder="1" applyAlignment="1">
      <alignment horizontal="right" vertical="center"/>
    </xf>
    <xf numFmtId="4" fontId="8" fillId="0" borderId="38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3" fillId="0" borderId="60" xfId="1" applyFont="1" applyBorder="1" applyAlignment="1" applyProtection="1">
      <alignment horizontal="center" vertical="center" textRotation="90" wrapText="1"/>
      <protection locked="0"/>
    </xf>
    <xf numFmtId="0" fontId="3" fillId="0" borderId="61" xfId="1" applyFont="1" applyBorder="1" applyAlignment="1" applyProtection="1">
      <alignment horizontal="center" vertical="center" textRotation="90" wrapText="1"/>
      <protection locked="0"/>
    </xf>
    <xf numFmtId="0" fontId="3" fillId="0" borderId="54" xfId="1" applyFont="1" applyBorder="1" applyAlignment="1" applyProtection="1">
      <alignment horizontal="center" vertical="center" textRotation="90" wrapText="1"/>
      <protection locked="0"/>
    </xf>
    <xf numFmtId="0" fontId="3" fillId="0" borderId="12" xfId="1" applyFont="1" applyBorder="1" applyAlignment="1" applyProtection="1">
      <alignment horizontal="center" vertical="center" textRotation="90" wrapText="1"/>
      <protection locked="0"/>
    </xf>
    <xf numFmtId="0" fontId="3" fillId="0" borderId="23" xfId="1" applyFont="1" applyBorder="1" applyAlignment="1" applyProtection="1">
      <alignment horizontal="center" vertical="center" textRotation="90" wrapText="1"/>
      <protection locked="0"/>
    </xf>
    <xf numFmtId="0" fontId="3" fillId="0" borderId="45" xfId="1" applyFont="1" applyBorder="1" applyAlignment="1" applyProtection="1">
      <alignment horizontal="center" vertical="center" textRotation="90" wrapText="1"/>
      <protection locked="0"/>
    </xf>
    <xf numFmtId="0" fontId="3" fillId="0" borderId="51" xfId="1" applyFont="1" applyBorder="1" applyAlignment="1" applyProtection="1">
      <alignment horizontal="center" vertical="center" textRotation="90" wrapText="1"/>
      <protection locked="0"/>
    </xf>
    <xf numFmtId="0" fontId="3" fillId="0" borderId="50" xfId="1" applyFont="1" applyBorder="1" applyAlignment="1" applyProtection="1">
      <alignment horizontal="center" vertical="center" textRotation="90" wrapText="1"/>
      <protection locked="0"/>
    </xf>
    <xf numFmtId="0" fontId="3" fillId="0" borderId="46" xfId="1" applyFont="1" applyBorder="1" applyAlignment="1" applyProtection="1">
      <alignment horizontal="center" vertical="center" textRotation="90" wrapText="1"/>
      <protection locked="0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49" fontId="7" fillId="3" borderId="60" xfId="2" applyNumberFormat="1" applyFont="1" applyFill="1" applyBorder="1" applyAlignment="1">
      <alignment horizontal="center" vertical="center" wrapText="1"/>
    </xf>
    <xf numFmtId="49" fontId="7" fillId="3" borderId="61" xfId="2" applyNumberFormat="1" applyFont="1" applyFill="1" applyBorder="1" applyAlignment="1">
      <alignment horizontal="center" vertical="center" wrapText="1"/>
    </xf>
    <xf numFmtId="49" fontId="7" fillId="3" borderId="54" xfId="2" applyNumberFormat="1" applyFont="1" applyFill="1" applyBorder="1" applyAlignment="1">
      <alignment horizontal="center" vertical="center" wrapText="1"/>
    </xf>
    <xf numFmtId="4" fontId="5" fillId="0" borderId="57" xfId="2" applyNumberFormat="1" applyFont="1" applyBorder="1" applyAlignment="1">
      <alignment horizontal="center" vertical="center"/>
    </xf>
    <xf numFmtId="4" fontId="5" fillId="0" borderId="21" xfId="2" applyNumberFormat="1" applyFont="1" applyBorder="1" applyAlignment="1">
      <alignment horizontal="center" vertical="center"/>
    </xf>
    <xf numFmtId="4" fontId="5" fillId="0" borderId="22" xfId="2" applyNumberFormat="1" applyFont="1" applyBorder="1" applyAlignment="1">
      <alignment horizontal="center" vertical="center"/>
    </xf>
    <xf numFmtId="4" fontId="5" fillId="2" borderId="20" xfId="2" applyNumberFormat="1" applyFont="1" applyFill="1" applyBorder="1" applyAlignment="1">
      <alignment horizontal="center" vertical="center"/>
    </xf>
    <xf numFmtId="4" fontId="5" fillId="2" borderId="21" xfId="2" applyNumberFormat="1" applyFont="1" applyFill="1" applyBorder="1" applyAlignment="1">
      <alignment horizontal="center" vertical="center"/>
    </xf>
    <xf numFmtId="4" fontId="5" fillId="2" borderId="22" xfId="2" applyNumberFormat="1" applyFont="1" applyFill="1" applyBorder="1" applyAlignment="1">
      <alignment horizontal="center" vertical="center"/>
    </xf>
    <xf numFmtId="4" fontId="5" fillId="3" borderId="20" xfId="2" applyNumberFormat="1" applyFont="1" applyFill="1" applyBorder="1" applyAlignment="1">
      <alignment horizontal="center" vertical="center"/>
    </xf>
    <xf numFmtId="4" fontId="5" fillId="3" borderId="21" xfId="2" applyNumberFormat="1" applyFont="1" applyFill="1" applyBorder="1" applyAlignment="1">
      <alignment horizontal="center" vertical="center"/>
    </xf>
    <xf numFmtId="4" fontId="5" fillId="3" borderId="22" xfId="2" applyNumberFormat="1" applyFont="1" applyFill="1" applyBorder="1" applyAlignment="1">
      <alignment horizontal="center" vertical="center"/>
    </xf>
    <xf numFmtId="4" fontId="5" fillId="0" borderId="20" xfId="3" applyNumberFormat="1" applyFont="1" applyBorder="1" applyAlignment="1">
      <alignment horizontal="center" vertical="center"/>
    </xf>
    <xf numFmtId="4" fontId="5" fillId="0" borderId="21" xfId="3" applyNumberFormat="1" applyFont="1" applyBorder="1" applyAlignment="1">
      <alignment horizontal="center" vertical="center"/>
    </xf>
    <xf numFmtId="4" fontId="5" fillId="0" borderId="22" xfId="3" applyNumberFormat="1" applyFont="1" applyBorder="1" applyAlignment="1">
      <alignment horizontal="center" vertical="center"/>
    </xf>
    <xf numFmtId="49" fontId="4" fillId="0" borderId="57" xfId="2" applyNumberFormat="1" applyFont="1" applyBorder="1" applyAlignment="1">
      <alignment horizontal="center" vertical="center"/>
    </xf>
    <xf numFmtId="49" fontId="4" fillId="0" borderId="21" xfId="2" applyNumberFormat="1" applyFont="1" applyBorder="1" applyAlignment="1">
      <alignment horizontal="center" vertical="center"/>
    </xf>
    <xf numFmtId="49" fontId="4" fillId="0" borderId="56" xfId="2" applyNumberFormat="1" applyFont="1" applyBorder="1" applyAlignment="1">
      <alignment horizontal="center" vertical="center"/>
    </xf>
    <xf numFmtId="4" fontId="4" fillId="0" borderId="57" xfId="3" applyNumberFormat="1" applyFont="1" applyBorder="1" applyAlignment="1">
      <alignment horizontal="center" vertical="center"/>
    </xf>
    <xf numFmtId="4" fontId="4" fillId="0" borderId="21" xfId="3" applyNumberFormat="1" applyFont="1" applyBorder="1" applyAlignment="1">
      <alignment horizontal="center" vertical="center"/>
    </xf>
    <xf numFmtId="4" fontId="4" fillId="0" borderId="22" xfId="3" applyNumberFormat="1" applyFont="1" applyBorder="1" applyAlignment="1">
      <alignment horizontal="center" vertical="center"/>
    </xf>
    <xf numFmtId="49" fontId="7" fillId="2" borderId="12" xfId="2" applyNumberFormat="1" applyFont="1" applyFill="1" applyBorder="1" applyAlignment="1">
      <alignment horizontal="center" vertical="center" wrapText="1"/>
    </xf>
    <xf numFmtId="49" fontId="7" fillId="2" borderId="23" xfId="2" applyNumberFormat="1" applyFont="1" applyFill="1" applyBorder="1" applyAlignment="1">
      <alignment horizontal="center" vertical="center" wrapText="1"/>
    </xf>
    <xf numFmtId="49" fontId="7" fillId="2" borderId="45" xfId="2" applyNumberFormat="1" applyFont="1" applyFill="1" applyBorder="1" applyAlignment="1">
      <alignment horizontal="center" vertical="center" wrapText="1"/>
    </xf>
    <xf numFmtId="49" fontId="7" fillId="3" borderId="10" xfId="2" applyNumberFormat="1" applyFont="1" applyFill="1" applyBorder="1" applyAlignment="1">
      <alignment horizontal="center" vertical="center" wrapText="1"/>
    </xf>
    <xf numFmtId="49" fontId="7" fillId="3" borderId="47" xfId="2" applyNumberFormat="1" applyFont="1" applyFill="1" applyBorder="1" applyAlignment="1">
      <alignment horizontal="center" vertical="center" wrapText="1"/>
    </xf>
    <xf numFmtId="49" fontId="7" fillId="3" borderId="53" xfId="2" applyNumberFormat="1" applyFont="1" applyFill="1" applyBorder="1" applyAlignment="1">
      <alignment horizontal="center" vertical="center" wrapText="1"/>
    </xf>
    <xf numFmtId="49" fontId="7" fillId="0" borderId="60" xfId="2" applyNumberFormat="1" applyFont="1" applyBorder="1" applyAlignment="1">
      <alignment horizontal="center" vertical="center" wrapText="1"/>
    </xf>
    <xf numFmtId="49" fontId="7" fillId="0" borderId="61" xfId="2" applyNumberFormat="1" applyFont="1" applyBorder="1" applyAlignment="1">
      <alignment horizontal="center" vertical="center" wrapText="1"/>
    </xf>
    <xf numFmtId="49" fontId="7" fillId="0" borderId="54" xfId="2" applyNumberFormat="1" applyFont="1" applyBorder="1" applyAlignment="1">
      <alignment horizontal="center" vertical="center" wrapText="1"/>
    </xf>
    <xf numFmtId="4" fontId="5" fillId="3" borderId="57" xfId="3" applyNumberFormat="1" applyFont="1" applyFill="1" applyBorder="1" applyAlignment="1">
      <alignment horizontal="center" vertical="center"/>
    </xf>
    <xf numFmtId="4" fontId="5" fillId="3" borderId="21" xfId="3" applyNumberFormat="1" applyFont="1" applyFill="1" applyBorder="1" applyAlignment="1">
      <alignment horizontal="center" vertical="center"/>
    </xf>
    <xf numFmtId="4" fontId="5" fillId="3" borderId="22" xfId="3" applyNumberFormat="1" applyFont="1" applyFill="1" applyBorder="1" applyAlignment="1">
      <alignment horizontal="center" vertical="center"/>
    </xf>
    <xf numFmtId="4" fontId="7" fillId="4" borderId="60" xfId="2" applyNumberFormat="1" applyFont="1" applyFill="1" applyBorder="1" applyAlignment="1">
      <alignment horizontal="center" vertical="center" wrapText="1"/>
    </xf>
    <xf numFmtId="4" fontId="7" fillId="4" borderId="54" xfId="2" applyNumberFormat="1" applyFont="1" applyFill="1" applyBorder="1" applyAlignment="1">
      <alignment horizontal="center" vertical="center" wrapText="1"/>
    </xf>
    <xf numFmtId="4" fontId="7" fillId="0" borderId="7" xfId="2" applyNumberFormat="1" applyFont="1" applyBorder="1" applyAlignment="1">
      <alignment horizontal="center" vertical="center" wrapText="1"/>
    </xf>
    <xf numFmtId="4" fontId="7" fillId="0" borderId="34" xfId="2" applyNumberFormat="1" applyFont="1" applyBorder="1" applyAlignment="1">
      <alignment horizontal="center" vertical="center" wrapText="1"/>
    </xf>
    <xf numFmtId="4" fontId="7" fillId="0" borderId="8" xfId="2" applyNumberFormat="1" applyFont="1" applyBorder="1" applyAlignment="1">
      <alignment horizontal="center" vertical="center" wrapText="1"/>
    </xf>
    <xf numFmtId="4" fontId="7" fillId="2" borderId="51" xfId="2" applyNumberFormat="1" applyFont="1" applyFill="1" applyBorder="1" applyAlignment="1">
      <alignment horizontal="center" vertical="center" wrapText="1"/>
    </xf>
    <xf numFmtId="4" fontId="7" fillId="2" borderId="46" xfId="2" applyNumberFormat="1" applyFont="1" applyFill="1" applyBorder="1" applyAlignment="1">
      <alignment horizontal="center" vertical="center" wrapText="1"/>
    </xf>
    <xf numFmtId="4" fontId="7" fillId="2" borderId="13" xfId="2" applyNumberFormat="1" applyFont="1" applyFill="1" applyBorder="1" applyAlignment="1">
      <alignment horizontal="center" vertical="center" wrapText="1"/>
    </xf>
    <xf numFmtId="4" fontId="7" fillId="2" borderId="55" xfId="2" applyNumberFormat="1" applyFont="1" applyFill="1" applyBorder="1" applyAlignment="1">
      <alignment horizontal="center" vertical="center" wrapText="1"/>
    </xf>
    <xf numFmtId="4" fontId="7" fillId="2" borderId="7" xfId="2" applyNumberFormat="1" applyFont="1" applyFill="1" applyBorder="1" applyAlignment="1">
      <alignment horizontal="center" vertical="center" wrapText="1"/>
    </xf>
    <xf numFmtId="4" fontId="7" fillId="2" borderId="34" xfId="2" applyNumberFormat="1" applyFont="1" applyFill="1" applyBorder="1" applyAlignment="1">
      <alignment horizontal="center" vertical="center" wrapText="1"/>
    </xf>
    <xf numFmtId="4" fontId="7" fillId="2" borderId="8" xfId="2" applyNumberFormat="1" applyFont="1" applyFill="1" applyBorder="1" applyAlignment="1">
      <alignment horizontal="center" vertical="center" wrapText="1"/>
    </xf>
    <xf numFmtId="4" fontId="7" fillId="3" borderId="60" xfId="2" applyNumberFormat="1" applyFont="1" applyFill="1" applyBorder="1" applyAlignment="1">
      <alignment horizontal="center" vertical="center" wrapText="1"/>
    </xf>
    <xf numFmtId="4" fontId="7" fillId="3" borderId="54" xfId="2" applyNumberFormat="1" applyFont="1" applyFill="1" applyBorder="1" applyAlignment="1">
      <alignment horizontal="center" vertical="center" wrapText="1"/>
    </xf>
    <xf numFmtId="4" fontId="5" fillId="3" borderId="20" xfId="3" applyNumberFormat="1" applyFont="1" applyFill="1" applyBorder="1" applyAlignment="1">
      <alignment horizontal="center" vertical="center"/>
    </xf>
    <xf numFmtId="4" fontId="5" fillId="0" borderId="56" xfId="3" applyNumberFormat="1" applyFont="1" applyBorder="1" applyAlignment="1">
      <alignment horizontal="center" vertical="center"/>
    </xf>
    <xf numFmtId="4" fontId="7" fillId="3" borderId="7" xfId="2" applyNumberFormat="1" applyFont="1" applyFill="1" applyBorder="1" applyAlignment="1">
      <alignment horizontal="center" vertical="center" wrapText="1"/>
    </xf>
    <xf numFmtId="4" fontId="7" fillId="3" borderId="34" xfId="2" applyNumberFormat="1" applyFont="1" applyFill="1" applyBorder="1" applyAlignment="1">
      <alignment horizontal="center" vertical="center" wrapText="1"/>
    </xf>
    <xf numFmtId="4" fontId="7" fillId="2" borderId="60" xfId="2" applyNumberFormat="1" applyFont="1" applyFill="1" applyBorder="1" applyAlignment="1">
      <alignment horizontal="center" vertical="center" wrapText="1"/>
    </xf>
    <xf numFmtId="4" fontId="7" fillId="2" borderId="54" xfId="2" applyNumberFormat="1" applyFont="1" applyFill="1" applyBorder="1" applyAlignment="1">
      <alignment horizontal="center" vertical="center" wrapText="1"/>
    </xf>
    <xf numFmtId="4" fontId="7" fillId="0" borderId="7" xfId="3" applyNumberFormat="1" applyFont="1" applyBorder="1" applyAlignment="1">
      <alignment horizontal="center" vertical="center" wrapText="1"/>
    </xf>
    <xf numFmtId="4" fontId="7" fillId="0" borderId="34" xfId="3" applyNumberFormat="1" applyFont="1" applyBorder="1" applyAlignment="1">
      <alignment horizontal="center" vertical="center" wrapText="1"/>
    </xf>
    <xf numFmtId="4" fontId="7" fillId="0" borderId="59" xfId="3" applyNumberFormat="1" applyFont="1" applyBorder="1" applyAlignment="1">
      <alignment horizontal="center" vertical="center" wrapText="1"/>
    </xf>
    <xf numFmtId="4" fontId="7" fillId="3" borderId="7" xfId="3" applyNumberFormat="1" applyFont="1" applyFill="1" applyBorder="1" applyAlignment="1">
      <alignment horizontal="center" vertical="center" wrapText="1"/>
    </xf>
    <xf numFmtId="4" fontId="7" fillId="3" borderId="34" xfId="3" applyNumberFormat="1" applyFont="1" applyFill="1" applyBorder="1" applyAlignment="1">
      <alignment horizontal="center" vertical="center" wrapText="1"/>
    </xf>
    <xf numFmtId="4" fontId="7" fillId="3" borderId="8" xfId="3" applyNumberFormat="1" applyFont="1" applyFill="1" applyBorder="1" applyAlignment="1">
      <alignment horizontal="center" vertical="center" wrapText="1"/>
    </xf>
    <xf numFmtId="4" fontId="7" fillId="2" borderId="51" xfId="3" applyNumberFormat="1" applyFont="1" applyFill="1" applyBorder="1" applyAlignment="1">
      <alignment horizontal="center" vertical="center" wrapText="1"/>
    </xf>
    <xf numFmtId="4" fontId="7" fillId="2" borderId="46" xfId="3" applyNumberFormat="1" applyFont="1" applyFill="1" applyBorder="1" applyAlignment="1">
      <alignment horizontal="center" vertical="center" wrapText="1"/>
    </xf>
    <xf numFmtId="4" fontId="7" fillId="2" borderId="32" xfId="3" applyNumberFormat="1" applyFont="1" applyFill="1" applyBorder="1" applyAlignment="1">
      <alignment horizontal="center" vertical="center" wrapText="1"/>
    </xf>
    <xf numFmtId="4" fontId="7" fillId="2" borderId="34" xfId="3" applyNumberFormat="1" applyFont="1" applyFill="1" applyBorder="1" applyAlignment="1">
      <alignment horizontal="center" vertical="center" wrapText="1"/>
    </xf>
    <xf numFmtId="4" fontId="7" fillId="2" borderId="59" xfId="3" applyNumberFormat="1" applyFont="1" applyFill="1" applyBorder="1" applyAlignment="1">
      <alignment horizontal="center" vertical="center" wrapText="1"/>
    </xf>
    <xf numFmtId="4" fontId="7" fillId="3" borderId="59" xfId="3" applyNumberFormat="1" applyFont="1" applyFill="1" applyBorder="1" applyAlignment="1">
      <alignment horizontal="center" vertical="center" wrapText="1"/>
    </xf>
    <xf numFmtId="4" fontId="7" fillId="2" borderId="60" xfId="3" applyNumberFormat="1" applyFont="1" applyFill="1" applyBorder="1" applyAlignment="1">
      <alignment horizontal="center" vertical="center" wrapText="1"/>
    </xf>
    <xf numFmtId="4" fontId="7" fillId="2" borderId="54" xfId="3" applyNumberFormat="1" applyFont="1" applyFill="1" applyBorder="1" applyAlignment="1">
      <alignment horizontal="center" vertical="center" wrapText="1"/>
    </xf>
    <xf numFmtId="4" fontId="7" fillId="2" borderId="7" xfId="3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" fontId="7" fillId="0" borderId="60" xfId="3" applyNumberFormat="1" applyFont="1" applyBorder="1" applyAlignment="1">
      <alignment horizontal="center" vertical="center" wrapText="1"/>
    </xf>
    <xf numFmtId="4" fontId="7" fillId="0" borderId="54" xfId="3" applyNumberFormat="1" applyFont="1" applyBorder="1" applyAlignment="1">
      <alignment horizontal="center" vertical="center" wrapText="1"/>
    </xf>
    <xf numFmtId="4" fontId="7" fillId="3" borderId="60" xfId="3" applyNumberFormat="1" applyFont="1" applyFill="1" applyBorder="1" applyAlignment="1">
      <alignment horizontal="center" vertical="center" wrapText="1"/>
    </xf>
    <xf numFmtId="4" fontId="7" fillId="3" borderId="54" xfId="3" applyNumberFormat="1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right"/>
    </xf>
    <xf numFmtId="0" fontId="12" fillId="2" borderId="26" xfId="0" applyFont="1" applyFill="1" applyBorder="1" applyAlignment="1">
      <alignment horizontal="right"/>
    </xf>
    <xf numFmtId="0" fontId="11" fillId="0" borderId="29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27" fillId="2" borderId="29" xfId="0" applyFont="1" applyFill="1" applyBorder="1" applyAlignment="1">
      <alignment horizontal="left" vertical="center" wrapText="1"/>
    </xf>
    <xf numFmtId="0" fontId="27" fillId="2" borderId="26" xfId="0" applyFont="1" applyFill="1" applyBorder="1" applyAlignment="1">
      <alignment horizontal="left" vertical="center" wrapText="1"/>
    </xf>
    <xf numFmtId="0" fontId="19" fillId="2" borderId="20" xfId="1" applyFont="1" applyFill="1" applyBorder="1" applyAlignment="1" applyProtection="1">
      <alignment horizontal="center" vertical="center" wrapText="1"/>
      <protection locked="0"/>
    </xf>
    <xf numFmtId="0" fontId="19" fillId="2" borderId="21" xfId="1" applyFont="1" applyFill="1" applyBorder="1" applyAlignment="1" applyProtection="1">
      <alignment horizontal="center" vertical="center" wrapText="1"/>
      <protection locked="0"/>
    </xf>
    <xf numFmtId="0" fontId="8" fillId="2" borderId="48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9" fillId="0" borderId="29" xfId="1" applyFont="1" applyBorder="1" applyAlignment="1" applyProtection="1">
      <alignment horizontal="center" vertical="center" wrapText="1"/>
      <protection locked="0"/>
    </xf>
    <xf numFmtId="0" fontId="9" fillId="0" borderId="26" xfId="1" applyFont="1" applyBorder="1" applyAlignment="1" applyProtection="1">
      <alignment horizontal="center" vertical="center" wrapText="1"/>
      <protection locked="0"/>
    </xf>
    <xf numFmtId="0" fontId="10" fillId="0" borderId="29" xfId="1" applyFont="1" applyBorder="1" applyAlignment="1" applyProtection="1">
      <alignment horizontal="center" vertical="center" wrapText="1"/>
      <protection locked="0"/>
    </xf>
    <xf numFmtId="0" fontId="10" fillId="0" borderId="26" xfId="1" applyFont="1" applyBorder="1" applyAlignment="1" applyProtection="1">
      <alignment horizontal="center" vertical="center" wrapText="1"/>
      <protection locked="0"/>
    </xf>
    <xf numFmtId="4" fontId="12" fillId="2" borderId="29" xfId="0" applyNumberFormat="1" applyFont="1" applyFill="1" applyBorder="1" applyAlignment="1">
      <alignment horizontal="right"/>
    </xf>
    <xf numFmtId="4" fontId="12" fillId="2" borderId="26" xfId="0" applyNumberFormat="1" applyFont="1" applyFill="1" applyBorder="1" applyAlignment="1">
      <alignment horizontal="right"/>
    </xf>
    <xf numFmtId="0" fontId="5" fillId="4" borderId="30" xfId="0" applyFont="1" applyFill="1" applyBorder="1" applyAlignment="1">
      <alignment horizontal="left" vertical="center"/>
    </xf>
    <xf numFmtId="0" fontId="5" fillId="4" borderId="68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5" fillId="4" borderId="69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4" fontId="5" fillId="4" borderId="15" xfId="0" applyNumberFormat="1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36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vertical="center"/>
    </xf>
    <xf numFmtId="0" fontId="0" fillId="0" borderId="15" xfId="0" applyBorder="1" applyAlignment="1"/>
  </cellXfs>
  <cellStyles count="5">
    <cellStyle name="Excel Built-in Normal" xfId="1" xr:uid="{ACBF00D9-7AE8-4932-AFE3-82A1C57633C1}"/>
    <cellStyle name="Normální" xfId="0" builtinId="0"/>
    <cellStyle name="Normální 2" xfId="4" xr:uid="{4E0F6E28-977C-42CA-AF96-997768A7E616}"/>
    <cellStyle name="normální_owssvr(1)" xfId="2" xr:uid="{486DF0E8-DD6C-4F41-83FF-034D49B56103}"/>
    <cellStyle name="normální_podklad-příjmy" xfId="3" xr:uid="{045657B6-5A51-4553-BCA9-82736CC19EC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  <color rgb="FFFF66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217DB-FF95-4D61-92FC-B4586C08CF78}">
  <sheetPr>
    <pageSetUpPr fitToPage="1"/>
  </sheetPr>
  <dimension ref="A1:CO123"/>
  <sheetViews>
    <sheetView tabSelected="1" topLeftCell="S1" zoomScale="77" zoomScaleNormal="77" workbookViewId="0">
      <pane ySplit="6" topLeftCell="A22" activePane="bottomLeft" state="frozen"/>
      <selection pane="bottomLeft" activeCell="AJ37" sqref="AJ37"/>
    </sheetView>
  </sheetViews>
  <sheetFormatPr defaultRowHeight="15" x14ac:dyDescent="0.25"/>
  <cols>
    <col min="1" max="1" width="3.140625" customWidth="1"/>
    <col min="2" max="2" width="6.42578125" customWidth="1"/>
    <col min="3" max="3" width="6.5703125" customWidth="1"/>
    <col min="4" max="4" width="11.85546875" hidden="1" customWidth="1"/>
    <col min="5" max="5" width="5.140625" customWidth="1"/>
    <col min="6" max="6" width="49.28515625" customWidth="1"/>
    <col min="7" max="7" width="13.28515625" style="1" customWidth="1"/>
    <col min="8" max="8" width="5.85546875" style="1" hidden="1" customWidth="1"/>
    <col min="9" max="9" width="10.7109375" style="2" customWidth="1"/>
    <col min="10" max="10" width="30.5703125" style="2" hidden="1" customWidth="1"/>
    <col min="11" max="11" width="18.85546875" style="3" customWidth="1"/>
    <col min="12" max="12" width="15.5703125" customWidth="1"/>
    <col min="13" max="14" width="13.7109375" customWidth="1"/>
    <col min="15" max="15" width="12.7109375" customWidth="1"/>
    <col min="16" max="16" width="11" style="4" customWidth="1"/>
    <col min="17" max="17" width="13.42578125" style="4" customWidth="1"/>
    <col min="18" max="18" width="18.85546875" style="4" customWidth="1"/>
    <col min="19" max="19" width="16" style="3" bestFit="1" customWidth="1"/>
    <col min="20" max="20" width="17.42578125" bestFit="1" customWidth="1"/>
    <col min="21" max="23" width="15.28515625" customWidth="1"/>
    <col min="24" max="24" width="18.5703125" bestFit="1" customWidth="1"/>
    <col min="25" max="25" width="14.85546875" style="5" customWidth="1"/>
    <col min="26" max="26" width="15" bestFit="1" customWidth="1"/>
    <col min="27" max="28" width="15.7109375" customWidth="1"/>
    <col min="29" max="29" width="13.42578125" customWidth="1"/>
    <col min="30" max="30" width="18.140625" customWidth="1"/>
    <col min="31" max="31" width="14.140625" style="3" customWidth="1"/>
    <col min="32" max="32" width="12.5703125" style="6" customWidth="1"/>
    <col min="33" max="33" width="13.7109375" style="7" customWidth="1"/>
    <col min="34" max="34" width="12.42578125" customWidth="1"/>
    <col min="35" max="35" width="11.5703125" customWidth="1"/>
    <col min="36" max="36" width="13.28515625" customWidth="1"/>
    <col min="37" max="37" width="15.140625" style="8" bestFit="1" customWidth="1"/>
    <col min="38" max="38" width="14" customWidth="1"/>
    <col min="39" max="39" width="15.140625" bestFit="1" customWidth="1"/>
    <col min="40" max="40" width="12.5703125" customWidth="1"/>
    <col min="41" max="41" width="13.85546875" customWidth="1"/>
    <col min="42" max="42" width="13" customWidth="1"/>
    <col min="43" max="43" width="15.42578125" style="8" customWidth="1"/>
    <col min="44" max="44" width="14.42578125" customWidth="1"/>
    <col min="45" max="45" width="12.85546875" customWidth="1"/>
    <col min="46" max="46" width="13.42578125" customWidth="1"/>
    <col min="47" max="47" width="14.28515625" style="3" customWidth="1"/>
    <col min="48" max="48" width="13.42578125" customWidth="1"/>
    <col min="49" max="49" width="14.5703125" customWidth="1"/>
    <col min="50" max="50" width="10.7109375" customWidth="1"/>
    <col min="51" max="51" width="13.28515625" customWidth="1"/>
    <col min="52" max="52" width="13.7109375" style="3" customWidth="1"/>
    <col min="53" max="53" width="13.28515625" customWidth="1"/>
    <col min="54" max="54" width="12" customWidth="1"/>
    <col min="55" max="55" width="13.42578125" customWidth="1"/>
    <col min="56" max="56" width="13.7109375" customWidth="1"/>
    <col min="57" max="57" width="14.85546875" style="3" customWidth="1"/>
    <col min="58" max="58" width="14.7109375" customWidth="1"/>
    <col min="59" max="59" width="10.85546875" bestFit="1" customWidth="1"/>
    <col min="60" max="60" width="13.140625" customWidth="1"/>
    <col min="61" max="61" width="14.28515625" customWidth="1"/>
    <col min="62" max="62" width="14.28515625" style="3" customWidth="1"/>
    <col min="63" max="63" width="14.5703125" customWidth="1"/>
    <col min="64" max="64" width="9.7109375" customWidth="1"/>
    <col min="65" max="65" width="13.42578125" customWidth="1"/>
    <col min="66" max="66" width="12.7109375" style="3" customWidth="1"/>
    <col min="67" max="67" width="11.7109375" customWidth="1"/>
    <col min="68" max="68" width="12.7109375" customWidth="1"/>
    <col min="69" max="69" width="13.28515625" customWidth="1"/>
    <col min="70" max="70" width="14.28515625" customWidth="1"/>
    <col min="71" max="71" width="16.28515625" customWidth="1"/>
    <col min="72" max="72" width="16.7109375" customWidth="1"/>
    <col min="73" max="73" width="15.140625" style="3" bestFit="1" customWidth="1"/>
    <col min="74" max="74" width="11.7109375" hidden="1" customWidth="1"/>
    <col min="75" max="75" width="9.140625" hidden="1" customWidth="1"/>
    <col min="76" max="76" width="9.7109375" hidden="1" customWidth="1"/>
    <col min="77" max="77" width="0" hidden="1" customWidth="1"/>
    <col min="78" max="78" width="9.7109375" hidden="1" customWidth="1"/>
  </cols>
  <sheetData>
    <row r="1" spans="1:83" ht="25.5" customHeight="1" x14ac:dyDescent="0.25">
      <c r="A1" s="223" t="s">
        <v>108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5"/>
      <c r="CE1" t="s">
        <v>105</v>
      </c>
    </row>
    <row r="2" spans="1:83" ht="18.75" customHeight="1" thickBot="1" x14ac:dyDescent="0.3">
      <c r="A2" s="191" t="s">
        <v>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3"/>
    </row>
    <row r="3" spans="1:83" ht="21" customHeight="1" thickBot="1" x14ac:dyDescent="0.3">
      <c r="A3" s="226" t="s">
        <v>6</v>
      </c>
      <c r="B3" s="226" t="s">
        <v>7</v>
      </c>
      <c r="C3" s="229" t="s">
        <v>8</v>
      </c>
      <c r="D3" s="9"/>
      <c r="E3" s="232" t="s">
        <v>9</v>
      </c>
      <c r="F3" s="235" t="s">
        <v>10</v>
      </c>
      <c r="G3" s="238" t="s">
        <v>11</v>
      </c>
      <c r="H3" s="238" t="s">
        <v>80</v>
      </c>
      <c r="I3" s="241" t="s">
        <v>12</v>
      </c>
      <c r="J3" s="158"/>
      <c r="K3" s="259" t="s">
        <v>13</v>
      </c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1"/>
      <c r="AD3" s="10"/>
      <c r="AE3" s="262" t="s">
        <v>14</v>
      </c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4"/>
      <c r="BR3" s="265" t="s">
        <v>15</v>
      </c>
      <c r="BS3" s="268" t="s">
        <v>16</v>
      </c>
      <c r="BT3" s="271" t="s">
        <v>17</v>
      </c>
      <c r="BU3" s="244" t="s">
        <v>18</v>
      </c>
    </row>
    <row r="4" spans="1:83" ht="15" customHeight="1" thickBot="1" x14ac:dyDescent="0.3">
      <c r="A4" s="227"/>
      <c r="B4" s="227"/>
      <c r="C4" s="230"/>
      <c r="D4" s="11"/>
      <c r="E4" s="233"/>
      <c r="F4" s="236"/>
      <c r="G4" s="239"/>
      <c r="H4" s="239"/>
      <c r="I4" s="242"/>
      <c r="J4" s="122"/>
      <c r="K4" s="247" t="s">
        <v>109</v>
      </c>
      <c r="L4" s="248"/>
      <c r="M4" s="248"/>
      <c r="N4" s="248"/>
      <c r="O4" s="248"/>
      <c r="P4" s="248"/>
      <c r="Q4" s="248"/>
      <c r="R4" s="249"/>
      <c r="S4" s="250" t="s">
        <v>19</v>
      </c>
      <c r="T4" s="251"/>
      <c r="U4" s="251"/>
      <c r="V4" s="251"/>
      <c r="W4" s="251"/>
      <c r="X4" s="252"/>
      <c r="Y4" s="253" t="s">
        <v>107</v>
      </c>
      <c r="Z4" s="254"/>
      <c r="AA4" s="254"/>
      <c r="AB4" s="254"/>
      <c r="AC4" s="254"/>
      <c r="AD4" s="255"/>
      <c r="AE4" s="256" t="s">
        <v>20</v>
      </c>
      <c r="AF4" s="257"/>
      <c r="AG4" s="257"/>
      <c r="AH4" s="257"/>
      <c r="AI4" s="257"/>
      <c r="AJ4" s="258"/>
      <c r="AK4" s="291" t="s">
        <v>21</v>
      </c>
      <c r="AL4" s="275"/>
      <c r="AM4" s="275"/>
      <c r="AN4" s="275"/>
      <c r="AO4" s="275"/>
      <c r="AP4" s="276"/>
      <c r="AQ4" s="256" t="s">
        <v>22</v>
      </c>
      <c r="AR4" s="257"/>
      <c r="AS4" s="257"/>
      <c r="AT4" s="258"/>
      <c r="AU4" s="291" t="s">
        <v>23</v>
      </c>
      <c r="AV4" s="275"/>
      <c r="AW4" s="275"/>
      <c r="AX4" s="275"/>
      <c r="AY4" s="276"/>
      <c r="AZ4" s="256" t="s">
        <v>24</v>
      </c>
      <c r="BA4" s="257"/>
      <c r="BB4" s="257"/>
      <c r="BC4" s="257"/>
      <c r="BD4" s="258"/>
      <c r="BE4" s="291" t="s">
        <v>25</v>
      </c>
      <c r="BF4" s="275"/>
      <c r="BG4" s="275"/>
      <c r="BH4" s="275"/>
      <c r="BI4" s="276"/>
      <c r="BJ4" s="256" t="s">
        <v>26</v>
      </c>
      <c r="BK4" s="257"/>
      <c r="BL4" s="257"/>
      <c r="BM4" s="292"/>
      <c r="BN4" s="274" t="s">
        <v>27</v>
      </c>
      <c r="BO4" s="275"/>
      <c r="BP4" s="275"/>
      <c r="BQ4" s="276"/>
      <c r="BR4" s="266"/>
      <c r="BS4" s="269"/>
      <c r="BT4" s="272"/>
      <c r="BU4" s="245"/>
    </row>
    <row r="5" spans="1:83" ht="21" customHeight="1" x14ac:dyDescent="0.25">
      <c r="A5" s="227"/>
      <c r="B5" s="227"/>
      <c r="C5" s="230"/>
      <c r="D5" s="11"/>
      <c r="E5" s="233"/>
      <c r="F5" s="236"/>
      <c r="G5" s="239"/>
      <c r="H5" s="239"/>
      <c r="I5" s="242"/>
      <c r="J5" s="157"/>
      <c r="K5" s="277" t="s">
        <v>106</v>
      </c>
      <c r="L5" s="279" t="s">
        <v>28</v>
      </c>
      <c r="M5" s="280"/>
      <c r="N5" s="280"/>
      <c r="O5" s="281"/>
      <c r="P5" s="282" t="s">
        <v>4</v>
      </c>
      <c r="Q5" s="282" t="s">
        <v>5</v>
      </c>
      <c r="R5" s="284" t="s">
        <v>29</v>
      </c>
      <c r="S5" s="277" t="s">
        <v>30</v>
      </c>
      <c r="T5" s="286" t="s">
        <v>28</v>
      </c>
      <c r="U5" s="287"/>
      <c r="V5" s="287"/>
      <c r="W5" s="288"/>
      <c r="X5" s="284" t="s">
        <v>31</v>
      </c>
      <c r="Y5" s="289" t="s">
        <v>32</v>
      </c>
      <c r="Z5" s="293" t="s">
        <v>28</v>
      </c>
      <c r="AA5" s="294"/>
      <c r="AB5" s="294"/>
      <c r="AC5" s="294"/>
      <c r="AD5" s="131"/>
      <c r="AE5" s="295" t="s">
        <v>33</v>
      </c>
      <c r="AF5" s="297" t="s">
        <v>28</v>
      </c>
      <c r="AG5" s="298"/>
      <c r="AH5" s="298"/>
      <c r="AI5" s="298"/>
      <c r="AJ5" s="299"/>
      <c r="AK5" s="289" t="s">
        <v>34</v>
      </c>
      <c r="AL5" s="300" t="s">
        <v>28</v>
      </c>
      <c r="AM5" s="301"/>
      <c r="AN5" s="301"/>
      <c r="AO5" s="301"/>
      <c r="AP5" s="302"/>
      <c r="AQ5" s="303" t="s">
        <v>33</v>
      </c>
      <c r="AR5" s="305" t="s">
        <v>28</v>
      </c>
      <c r="AS5" s="306"/>
      <c r="AT5" s="307"/>
      <c r="AU5" s="289" t="s">
        <v>34</v>
      </c>
      <c r="AV5" s="300" t="s">
        <v>28</v>
      </c>
      <c r="AW5" s="301"/>
      <c r="AX5" s="301"/>
      <c r="AY5" s="308"/>
      <c r="AZ5" s="309" t="s">
        <v>33</v>
      </c>
      <c r="BA5" s="311" t="s">
        <v>28</v>
      </c>
      <c r="BB5" s="306"/>
      <c r="BC5" s="306"/>
      <c r="BD5" s="307"/>
      <c r="BE5" s="289" t="s">
        <v>34</v>
      </c>
      <c r="BF5" s="300" t="s">
        <v>28</v>
      </c>
      <c r="BG5" s="301"/>
      <c r="BH5" s="301"/>
      <c r="BI5" s="308"/>
      <c r="BJ5" s="314" t="s">
        <v>33</v>
      </c>
      <c r="BK5" s="297" t="s">
        <v>28</v>
      </c>
      <c r="BL5" s="298"/>
      <c r="BM5" s="299"/>
      <c r="BN5" s="316" t="s">
        <v>34</v>
      </c>
      <c r="BO5" s="300" t="s">
        <v>28</v>
      </c>
      <c r="BP5" s="301"/>
      <c r="BQ5" s="308"/>
      <c r="BR5" s="266"/>
      <c r="BS5" s="269"/>
      <c r="BT5" s="272"/>
      <c r="BU5" s="245"/>
    </row>
    <row r="6" spans="1:83" ht="74.25" customHeight="1" thickBot="1" x14ac:dyDescent="0.3">
      <c r="A6" s="228"/>
      <c r="B6" s="228"/>
      <c r="C6" s="231"/>
      <c r="D6" s="126" t="s">
        <v>35</v>
      </c>
      <c r="E6" s="234"/>
      <c r="F6" s="237"/>
      <c r="G6" s="240"/>
      <c r="H6" s="240"/>
      <c r="I6" s="243"/>
      <c r="J6" s="159" t="s">
        <v>79</v>
      </c>
      <c r="K6" s="278"/>
      <c r="L6" s="127" t="s">
        <v>36</v>
      </c>
      <c r="M6" s="128" t="s">
        <v>2</v>
      </c>
      <c r="N6" s="129" t="s">
        <v>37</v>
      </c>
      <c r="O6" s="128" t="s">
        <v>3</v>
      </c>
      <c r="P6" s="283"/>
      <c r="Q6" s="283"/>
      <c r="R6" s="285"/>
      <c r="S6" s="278"/>
      <c r="T6" s="130" t="s">
        <v>1</v>
      </c>
      <c r="U6" s="129" t="s">
        <v>2</v>
      </c>
      <c r="V6" s="129" t="s">
        <v>37</v>
      </c>
      <c r="W6" s="129" t="s">
        <v>3</v>
      </c>
      <c r="X6" s="285"/>
      <c r="Y6" s="290"/>
      <c r="Z6" s="132" t="s">
        <v>1</v>
      </c>
      <c r="AA6" s="133" t="s">
        <v>2</v>
      </c>
      <c r="AB6" s="133" t="s">
        <v>37</v>
      </c>
      <c r="AC6" s="133" t="s">
        <v>3</v>
      </c>
      <c r="AD6" s="134" t="s">
        <v>78</v>
      </c>
      <c r="AE6" s="296"/>
      <c r="AF6" s="135" t="s">
        <v>1</v>
      </c>
      <c r="AG6" s="129" t="s">
        <v>2</v>
      </c>
      <c r="AH6" s="128" t="s">
        <v>3</v>
      </c>
      <c r="AI6" s="212" t="s">
        <v>37</v>
      </c>
      <c r="AJ6" s="129" t="s">
        <v>38</v>
      </c>
      <c r="AK6" s="290"/>
      <c r="AL6" s="132" t="s">
        <v>1</v>
      </c>
      <c r="AM6" s="133" t="s">
        <v>2</v>
      </c>
      <c r="AN6" s="133" t="s">
        <v>3</v>
      </c>
      <c r="AO6" s="133" t="s">
        <v>37</v>
      </c>
      <c r="AP6" s="133" t="s">
        <v>116</v>
      </c>
      <c r="AQ6" s="304"/>
      <c r="AR6" s="129" t="s">
        <v>1</v>
      </c>
      <c r="AS6" s="129" t="s">
        <v>2</v>
      </c>
      <c r="AT6" s="129" t="s">
        <v>39</v>
      </c>
      <c r="AU6" s="290"/>
      <c r="AV6" s="132" t="s">
        <v>1</v>
      </c>
      <c r="AW6" s="133" t="s">
        <v>2</v>
      </c>
      <c r="AX6" s="133" t="s">
        <v>3</v>
      </c>
      <c r="AY6" s="133" t="s">
        <v>40</v>
      </c>
      <c r="AZ6" s="310"/>
      <c r="BA6" s="130" t="s">
        <v>1</v>
      </c>
      <c r="BB6" s="129" t="s">
        <v>2</v>
      </c>
      <c r="BC6" s="129" t="s">
        <v>3</v>
      </c>
      <c r="BD6" s="129" t="s">
        <v>41</v>
      </c>
      <c r="BE6" s="290"/>
      <c r="BF6" s="132" t="s">
        <v>1</v>
      </c>
      <c r="BG6" s="133" t="s">
        <v>2</v>
      </c>
      <c r="BH6" s="133" t="s">
        <v>3</v>
      </c>
      <c r="BI6" s="133" t="s">
        <v>41</v>
      </c>
      <c r="BJ6" s="315"/>
      <c r="BK6" s="135" t="s">
        <v>1</v>
      </c>
      <c r="BL6" s="128" t="s">
        <v>3</v>
      </c>
      <c r="BM6" s="135" t="s">
        <v>42</v>
      </c>
      <c r="BN6" s="317"/>
      <c r="BO6" s="132" t="s">
        <v>1</v>
      </c>
      <c r="BP6" s="133" t="s">
        <v>3</v>
      </c>
      <c r="BQ6" s="133" t="s">
        <v>42</v>
      </c>
      <c r="BR6" s="267"/>
      <c r="BS6" s="270"/>
      <c r="BT6" s="273"/>
      <c r="BU6" s="246"/>
      <c r="BX6" t="s">
        <v>100</v>
      </c>
    </row>
    <row r="7" spans="1:83" s="21" customFormat="1" ht="48" customHeight="1" x14ac:dyDescent="0.2">
      <c r="A7" s="113">
        <v>1</v>
      </c>
      <c r="B7" s="114" t="s">
        <v>75</v>
      </c>
      <c r="C7" s="114" t="s">
        <v>48</v>
      </c>
      <c r="D7" s="123" t="s">
        <v>96</v>
      </c>
      <c r="E7" s="103">
        <v>7</v>
      </c>
      <c r="F7" s="185" t="s">
        <v>54</v>
      </c>
      <c r="G7" s="111">
        <v>4043004006</v>
      </c>
      <c r="H7" s="124" t="s">
        <v>88</v>
      </c>
      <c r="I7" s="125">
        <v>0</v>
      </c>
      <c r="J7" s="165"/>
      <c r="K7" s="12">
        <f t="shared" ref="K7:K27" si="0">L7+M7+O7+N7</f>
        <v>4500</v>
      </c>
      <c r="L7" s="171">
        <v>4500</v>
      </c>
      <c r="M7" s="171">
        <v>0</v>
      </c>
      <c r="N7" s="171">
        <v>0</v>
      </c>
      <c r="O7" s="13">
        <v>0</v>
      </c>
      <c r="P7" s="90">
        <v>3322</v>
      </c>
      <c r="Q7" s="91">
        <v>5331</v>
      </c>
      <c r="R7" s="172">
        <v>4350000</v>
      </c>
      <c r="S7" s="46">
        <f>T7+U7+V7</f>
        <v>-2500</v>
      </c>
      <c r="T7" s="47">
        <v>-2500</v>
      </c>
      <c r="U7" s="47">
        <v>0</v>
      </c>
      <c r="V7" s="47">
        <v>0</v>
      </c>
      <c r="W7" s="47">
        <v>0</v>
      </c>
      <c r="X7" s="206">
        <v>-2500000</v>
      </c>
      <c r="Y7" s="14">
        <f t="shared" ref="Y7:Y27" si="1">Z7+AA7</f>
        <v>2000</v>
      </c>
      <c r="Z7" s="15">
        <f t="shared" ref="Z7:AC30" si="2">L7+T7</f>
        <v>2000</v>
      </c>
      <c r="AA7" s="15">
        <f t="shared" si="2"/>
        <v>0</v>
      </c>
      <c r="AB7" s="15">
        <f t="shared" si="2"/>
        <v>0</v>
      </c>
      <c r="AC7" s="32">
        <f t="shared" si="2"/>
        <v>0</v>
      </c>
      <c r="AD7" s="16">
        <f>X7</f>
        <v>-2500000</v>
      </c>
      <c r="AE7" s="17">
        <f t="shared" ref="AE7:AE33" si="3">AF7+AG7+AH7</f>
        <v>0</v>
      </c>
      <c r="AF7" s="47">
        <v>0</v>
      </c>
      <c r="AG7" s="47">
        <v>0</v>
      </c>
      <c r="AH7" s="47">
        <v>0</v>
      </c>
      <c r="AI7" s="47">
        <v>0</v>
      </c>
      <c r="AJ7" s="47">
        <v>0</v>
      </c>
      <c r="AK7" s="14">
        <f>AL7+AM7</f>
        <v>2500</v>
      </c>
      <c r="AL7" s="15">
        <f>AF7+2500</f>
        <v>2500</v>
      </c>
      <c r="AM7" s="15">
        <f>AG7</f>
        <v>0</v>
      </c>
      <c r="AN7" s="15">
        <f>AH7</f>
        <v>0</v>
      </c>
      <c r="AO7" s="213">
        <v>0</v>
      </c>
      <c r="AP7" s="16">
        <f t="shared" ref="AP7" si="4">AJ7</f>
        <v>0</v>
      </c>
      <c r="AQ7" s="17">
        <f t="shared" ref="AQ7:AQ33" si="5">AR7+AS7</f>
        <v>0</v>
      </c>
      <c r="AR7" s="47">
        <v>0</v>
      </c>
      <c r="AS7" s="47">
        <v>0</v>
      </c>
      <c r="AT7" s="47">
        <v>75000</v>
      </c>
      <c r="AU7" s="14">
        <f t="shared" ref="AU7:AU33" si="6">AV7+AW7</f>
        <v>0</v>
      </c>
      <c r="AV7" s="15">
        <f t="shared" ref="AV7:AW27" si="7">AR7</f>
        <v>0</v>
      </c>
      <c r="AW7" s="15">
        <f t="shared" si="7"/>
        <v>0</v>
      </c>
      <c r="AX7" s="15">
        <v>0</v>
      </c>
      <c r="AY7" s="16">
        <v>45000</v>
      </c>
      <c r="AZ7" s="17">
        <f t="shared" ref="AZ7:AZ33" si="8">BA7+BB7</f>
        <v>0</v>
      </c>
      <c r="BA7" s="47">
        <v>0</v>
      </c>
      <c r="BB7" s="47">
        <v>0</v>
      </c>
      <c r="BC7" s="47">
        <v>0</v>
      </c>
      <c r="BD7" s="47">
        <v>0</v>
      </c>
      <c r="BE7" s="160">
        <f t="shared" ref="BE7:BE33" si="9">BF7+BG7</f>
        <v>0</v>
      </c>
      <c r="BF7" s="15">
        <f t="shared" ref="BF7:BI27" si="10">BA7</f>
        <v>0</v>
      </c>
      <c r="BG7" s="15">
        <f t="shared" si="10"/>
        <v>0</v>
      </c>
      <c r="BH7" s="15">
        <f t="shared" si="10"/>
        <v>0</v>
      </c>
      <c r="BI7" s="16">
        <v>30000</v>
      </c>
      <c r="BJ7" s="17">
        <f t="shared" ref="BJ7:BJ33" si="11">BK7</f>
        <v>0</v>
      </c>
      <c r="BK7" s="47">
        <v>0</v>
      </c>
      <c r="BL7" s="47">
        <v>0</v>
      </c>
      <c r="BM7" s="47">
        <v>0</v>
      </c>
      <c r="BN7" s="18">
        <f t="shared" ref="BN7:BN33" si="12">BO7</f>
        <v>0</v>
      </c>
      <c r="BO7" s="15">
        <f t="shared" ref="BO7:BQ27" si="13">BK7</f>
        <v>0</v>
      </c>
      <c r="BP7" s="15">
        <f t="shared" si="13"/>
        <v>0</v>
      </c>
      <c r="BQ7" s="16">
        <f t="shared" si="13"/>
        <v>0</v>
      </c>
      <c r="BR7" s="19">
        <f t="shared" ref="BR7:BR21" si="14">BM7+BD7+AT7+AJ7+N7</f>
        <v>75000</v>
      </c>
      <c r="BS7" s="16">
        <f t="shared" ref="BS7:BS21" si="15">BQ7+BI7+AY7+AB7+AP7</f>
        <v>75000</v>
      </c>
      <c r="BT7" s="52">
        <f>I7+K7+AE7+AQ7+AZ7+BJ7+BR7</f>
        <v>79500</v>
      </c>
      <c r="BU7" s="53">
        <f>I7+Y7+AK7+AU7+BE7+BN7+BS7</f>
        <v>79500</v>
      </c>
      <c r="BV7" s="20">
        <f>BT7-BU7</f>
        <v>0</v>
      </c>
      <c r="BX7" s="21" t="s">
        <v>95</v>
      </c>
    </row>
    <row r="8" spans="1:83" s="21" customFormat="1" ht="40.5" customHeight="1" x14ac:dyDescent="0.2">
      <c r="A8" s="113">
        <v>1</v>
      </c>
      <c r="B8" s="23" t="s">
        <v>75</v>
      </c>
      <c r="C8" s="23" t="s">
        <v>43</v>
      </c>
      <c r="D8" s="25" t="s">
        <v>83</v>
      </c>
      <c r="E8" s="96">
        <v>7</v>
      </c>
      <c r="F8" s="186" t="s">
        <v>62</v>
      </c>
      <c r="G8" s="108">
        <v>57484</v>
      </c>
      <c r="H8" s="84" t="s">
        <v>82</v>
      </c>
      <c r="I8" s="66">
        <v>1545</v>
      </c>
      <c r="J8" s="166"/>
      <c r="K8" s="27">
        <f t="shared" si="0"/>
        <v>41015</v>
      </c>
      <c r="L8" s="82">
        <v>615</v>
      </c>
      <c r="M8" s="82">
        <v>40400</v>
      </c>
      <c r="N8" s="82">
        <v>0</v>
      </c>
      <c r="O8" s="28">
        <v>0</v>
      </c>
      <c r="P8" s="29">
        <v>3322</v>
      </c>
      <c r="Q8" s="29">
        <v>6121</v>
      </c>
      <c r="R8" s="163" t="s">
        <v>44</v>
      </c>
      <c r="S8" s="27">
        <f t="shared" ref="S8:S33" si="16">T8+U8+V8</f>
        <v>-40300</v>
      </c>
      <c r="T8" s="47">
        <v>0</v>
      </c>
      <c r="U8" s="30">
        <v>-40300</v>
      </c>
      <c r="V8" s="47">
        <v>0</v>
      </c>
      <c r="W8" s="47">
        <v>0</v>
      </c>
      <c r="X8" s="163" t="s">
        <v>44</v>
      </c>
      <c r="Y8" s="42">
        <f t="shared" si="1"/>
        <v>715</v>
      </c>
      <c r="Z8" s="32">
        <f t="shared" si="2"/>
        <v>615</v>
      </c>
      <c r="AA8" s="32">
        <f t="shared" si="2"/>
        <v>100</v>
      </c>
      <c r="AB8" s="32">
        <f t="shared" si="2"/>
        <v>0</v>
      </c>
      <c r="AC8" s="32">
        <f t="shared" si="2"/>
        <v>0</v>
      </c>
      <c r="AD8" s="33">
        <v>0</v>
      </c>
      <c r="AE8" s="36">
        <f t="shared" si="3"/>
        <v>10000</v>
      </c>
      <c r="AF8" s="47">
        <v>0</v>
      </c>
      <c r="AG8" s="47">
        <f>10000</f>
        <v>10000</v>
      </c>
      <c r="AH8" s="47">
        <v>0</v>
      </c>
      <c r="AI8" s="47">
        <v>0</v>
      </c>
      <c r="AJ8" s="47">
        <v>0</v>
      </c>
      <c r="AK8" s="42">
        <f>AL8+AM8</f>
        <v>50300</v>
      </c>
      <c r="AL8" s="32">
        <f>AF8</f>
        <v>0</v>
      </c>
      <c r="AM8" s="32">
        <f>40300+AG8</f>
        <v>50300</v>
      </c>
      <c r="AN8" s="32">
        <f>AH8</f>
        <v>0</v>
      </c>
      <c r="AO8" s="208">
        <v>0</v>
      </c>
      <c r="AP8" s="33">
        <f>AJ8</f>
        <v>0</v>
      </c>
      <c r="AQ8" s="36">
        <f t="shared" si="5"/>
        <v>0</v>
      </c>
      <c r="AR8" s="47">
        <v>0</v>
      </c>
      <c r="AS8" s="47">
        <v>0</v>
      </c>
      <c r="AT8" s="47">
        <v>0</v>
      </c>
      <c r="AU8" s="42">
        <f t="shared" si="6"/>
        <v>0</v>
      </c>
      <c r="AV8" s="32">
        <f t="shared" si="7"/>
        <v>0</v>
      </c>
      <c r="AW8" s="32">
        <f t="shared" si="7"/>
        <v>0</v>
      </c>
      <c r="AX8" s="32">
        <v>0</v>
      </c>
      <c r="AY8" s="33">
        <v>0</v>
      </c>
      <c r="AZ8" s="36">
        <f t="shared" si="8"/>
        <v>0</v>
      </c>
      <c r="BA8" s="47">
        <v>0</v>
      </c>
      <c r="BB8" s="47">
        <v>0</v>
      </c>
      <c r="BC8" s="47">
        <v>0</v>
      </c>
      <c r="BD8" s="47">
        <v>0</v>
      </c>
      <c r="BE8" s="161">
        <f t="shared" si="9"/>
        <v>0</v>
      </c>
      <c r="BF8" s="32">
        <f t="shared" si="10"/>
        <v>0</v>
      </c>
      <c r="BG8" s="32">
        <f t="shared" si="10"/>
        <v>0</v>
      </c>
      <c r="BH8" s="32">
        <f t="shared" si="10"/>
        <v>0</v>
      </c>
      <c r="BI8" s="33">
        <f t="shared" si="10"/>
        <v>0</v>
      </c>
      <c r="BJ8" s="36">
        <f t="shared" si="11"/>
        <v>0</v>
      </c>
      <c r="BK8" s="47">
        <v>0</v>
      </c>
      <c r="BL8" s="47">
        <v>0</v>
      </c>
      <c r="BM8" s="47">
        <v>0</v>
      </c>
      <c r="BN8" s="37">
        <f t="shared" si="12"/>
        <v>0</v>
      </c>
      <c r="BO8" s="32">
        <f t="shared" si="13"/>
        <v>0</v>
      </c>
      <c r="BP8" s="32">
        <f t="shared" si="13"/>
        <v>0</v>
      </c>
      <c r="BQ8" s="33">
        <f t="shared" si="13"/>
        <v>0</v>
      </c>
      <c r="BR8" s="38">
        <f t="shared" si="14"/>
        <v>0</v>
      </c>
      <c r="BS8" s="33">
        <f t="shared" si="15"/>
        <v>0</v>
      </c>
      <c r="BT8" s="39">
        <f>I8+K8+AE8+AQ8+AZ8+BJ8+BR8</f>
        <v>52560</v>
      </c>
      <c r="BU8" s="40">
        <f>I8+Y8+AK8+AU8+BE8+BN8+BS8</f>
        <v>52560</v>
      </c>
      <c r="BV8" s="20">
        <f t="shared" ref="BV8:BV33" si="17">BT8-BU8</f>
        <v>0</v>
      </c>
      <c r="BW8" s="21" t="s">
        <v>94</v>
      </c>
    </row>
    <row r="9" spans="1:83" s="21" customFormat="1" ht="25.5" customHeight="1" x14ac:dyDescent="0.2">
      <c r="A9" s="326">
        <v>1</v>
      </c>
      <c r="B9" s="328" t="s">
        <v>75</v>
      </c>
      <c r="C9" s="328" t="s">
        <v>43</v>
      </c>
      <c r="D9" s="330" t="s">
        <v>83</v>
      </c>
      <c r="E9" s="96">
        <v>7</v>
      </c>
      <c r="F9" s="322" t="s">
        <v>45</v>
      </c>
      <c r="G9" s="318">
        <v>59554</v>
      </c>
      <c r="H9" s="320" t="s">
        <v>81</v>
      </c>
      <c r="I9" s="66"/>
      <c r="J9" s="166"/>
      <c r="K9" s="27">
        <f t="shared" si="0"/>
        <v>419.4</v>
      </c>
      <c r="L9" s="82">
        <v>169.4</v>
      </c>
      <c r="M9" s="82">
        <v>250</v>
      </c>
      <c r="N9" s="82">
        <v>0</v>
      </c>
      <c r="O9" s="28">
        <v>0</v>
      </c>
      <c r="P9" s="29">
        <v>3322</v>
      </c>
      <c r="Q9" s="29">
        <v>5169</v>
      </c>
      <c r="R9" s="163"/>
      <c r="S9" s="27">
        <f t="shared" si="16"/>
        <v>-250</v>
      </c>
      <c r="T9" s="30">
        <v>0</v>
      </c>
      <c r="U9" s="30">
        <v>-250</v>
      </c>
      <c r="V9" s="47">
        <v>0</v>
      </c>
      <c r="W9" s="47">
        <v>0</v>
      </c>
      <c r="X9" s="163">
        <v>0</v>
      </c>
      <c r="Y9" s="42">
        <f t="shared" si="1"/>
        <v>169.4</v>
      </c>
      <c r="Z9" s="32">
        <f t="shared" si="2"/>
        <v>169.4</v>
      </c>
      <c r="AA9" s="32">
        <f t="shared" si="2"/>
        <v>0</v>
      </c>
      <c r="AB9" s="32">
        <f t="shared" si="2"/>
        <v>0</v>
      </c>
      <c r="AC9" s="32">
        <f t="shared" si="2"/>
        <v>0</v>
      </c>
      <c r="AD9" s="33">
        <f t="shared" ref="AD9:AD33" si="18">X9</f>
        <v>0</v>
      </c>
      <c r="AE9" s="36">
        <f t="shared" si="3"/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2">
        <f>AL9+AM9</f>
        <v>250</v>
      </c>
      <c r="AL9" s="32">
        <f>AF9</f>
        <v>0</v>
      </c>
      <c r="AM9" s="32">
        <f>AG9+250</f>
        <v>250</v>
      </c>
      <c r="AN9" s="32">
        <f>AH9</f>
        <v>0</v>
      </c>
      <c r="AO9" s="208">
        <v>0</v>
      </c>
      <c r="AP9" s="33">
        <f t="shared" ref="AP9" si="19">AJ9</f>
        <v>0</v>
      </c>
      <c r="AQ9" s="36">
        <f t="shared" si="5"/>
        <v>0</v>
      </c>
      <c r="AR9" s="47">
        <v>0</v>
      </c>
      <c r="AS9" s="47">
        <v>0</v>
      </c>
      <c r="AT9" s="47"/>
      <c r="AU9" s="42">
        <f t="shared" si="6"/>
        <v>0</v>
      </c>
      <c r="AV9" s="32">
        <f t="shared" si="7"/>
        <v>0</v>
      </c>
      <c r="AW9" s="32">
        <f t="shared" si="7"/>
        <v>0</v>
      </c>
      <c r="AX9" s="32">
        <v>0</v>
      </c>
      <c r="AY9" s="33">
        <v>0</v>
      </c>
      <c r="AZ9" s="36">
        <f t="shared" si="8"/>
        <v>0</v>
      </c>
      <c r="BA9" s="47">
        <v>0</v>
      </c>
      <c r="BB9" s="47">
        <v>0</v>
      </c>
      <c r="BC9" s="47">
        <v>0</v>
      </c>
      <c r="BD9" s="47">
        <v>0</v>
      </c>
      <c r="BE9" s="161">
        <f t="shared" si="9"/>
        <v>0</v>
      </c>
      <c r="BF9" s="32">
        <f t="shared" si="10"/>
        <v>0</v>
      </c>
      <c r="BG9" s="32">
        <f t="shared" si="10"/>
        <v>0</v>
      </c>
      <c r="BH9" s="32">
        <f t="shared" si="10"/>
        <v>0</v>
      </c>
      <c r="BI9" s="33">
        <f t="shared" si="10"/>
        <v>0</v>
      </c>
      <c r="BJ9" s="36">
        <f t="shared" si="11"/>
        <v>0</v>
      </c>
      <c r="BK9" s="47">
        <v>0</v>
      </c>
      <c r="BL9" s="47">
        <v>0</v>
      </c>
      <c r="BM9" s="47">
        <v>0</v>
      </c>
      <c r="BN9" s="37">
        <f t="shared" si="12"/>
        <v>0</v>
      </c>
      <c r="BO9" s="32">
        <f t="shared" si="13"/>
        <v>0</v>
      </c>
      <c r="BP9" s="32">
        <f t="shared" si="13"/>
        <v>0</v>
      </c>
      <c r="BQ9" s="33">
        <f t="shared" si="13"/>
        <v>0</v>
      </c>
      <c r="BR9" s="38">
        <f t="shared" si="14"/>
        <v>0</v>
      </c>
      <c r="BS9" s="33">
        <f t="shared" si="15"/>
        <v>0</v>
      </c>
      <c r="BT9" s="39">
        <f>I9+K9+AE9+AQ9+AZ9+BJ9+BR9</f>
        <v>419.4</v>
      </c>
      <c r="BU9" s="40">
        <f>I9+Y9+AK9+AU9+BE9+BN9+BS9</f>
        <v>419.4</v>
      </c>
      <c r="BV9" s="20"/>
      <c r="BW9" s="21" t="s">
        <v>95</v>
      </c>
    </row>
    <row r="10" spans="1:83" s="21" customFormat="1" ht="21.75" customHeight="1" x14ac:dyDescent="0.2">
      <c r="A10" s="327"/>
      <c r="B10" s="329"/>
      <c r="C10" s="329"/>
      <c r="D10" s="331"/>
      <c r="E10" s="96">
        <v>7</v>
      </c>
      <c r="F10" s="323"/>
      <c r="G10" s="319"/>
      <c r="H10" s="321"/>
      <c r="I10" s="66">
        <f>4205.7+894.2</f>
        <v>5099.8999999999996</v>
      </c>
      <c r="J10" s="166"/>
      <c r="K10" s="27">
        <f t="shared" si="0"/>
        <v>4750</v>
      </c>
      <c r="L10" s="82">
        <v>0</v>
      </c>
      <c r="M10" s="82">
        <v>4750</v>
      </c>
      <c r="N10" s="82">
        <v>0</v>
      </c>
      <c r="O10" s="28">
        <v>0</v>
      </c>
      <c r="P10" s="29">
        <v>3322</v>
      </c>
      <c r="Q10" s="29">
        <v>5171</v>
      </c>
      <c r="R10" s="163" t="s">
        <v>44</v>
      </c>
      <c r="S10" s="27">
        <f t="shared" si="16"/>
        <v>-4750</v>
      </c>
      <c r="T10" s="30">
        <v>0</v>
      </c>
      <c r="U10" s="30">
        <v>-4750</v>
      </c>
      <c r="V10" s="47">
        <v>0</v>
      </c>
      <c r="W10" s="47">
        <v>0</v>
      </c>
      <c r="X10" s="163">
        <v>0</v>
      </c>
      <c r="Y10" s="42">
        <f t="shared" si="1"/>
        <v>0</v>
      </c>
      <c r="Z10" s="32">
        <f t="shared" si="2"/>
        <v>0</v>
      </c>
      <c r="AA10" s="32">
        <f t="shared" si="2"/>
        <v>0</v>
      </c>
      <c r="AB10" s="32">
        <f t="shared" si="2"/>
        <v>0</v>
      </c>
      <c r="AC10" s="32">
        <f t="shared" si="2"/>
        <v>0</v>
      </c>
      <c r="AD10" s="33">
        <f t="shared" si="18"/>
        <v>0</v>
      </c>
      <c r="AE10" s="36">
        <f t="shared" si="3"/>
        <v>85000</v>
      </c>
      <c r="AF10" s="47">
        <v>30000</v>
      </c>
      <c r="AG10" s="47">
        <v>55000</v>
      </c>
      <c r="AH10" s="47">
        <v>0</v>
      </c>
      <c r="AI10" s="47">
        <v>0</v>
      </c>
      <c r="AJ10" s="47">
        <v>0</v>
      </c>
      <c r="AK10" s="42">
        <f t="shared" ref="AK10:AK30" si="20">AL10+AM10</f>
        <v>89750</v>
      </c>
      <c r="AL10" s="32">
        <f>AF10</f>
        <v>30000</v>
      </c>
      <c r="AM10" s="32">
        <f>AG10+4750</f>
        <v>59750</v>
      </c>
      <c r="AN10" s="32">
        <f>AH10</f>
        <v>0</v>
      </c>
      <c r="AO10" s="208">
        <v>0</v>
      </c>
      <c r="AP10" s="33">
        <f t="shared" ref="AP10:AP27" si="21">AJ10</f>
        <v>0</v>
      </c>
      <c r="AQ10" s="36">
        <f t="shared" si="5"/>
        <v>60000</v>
      </c>
      <c r="AR10" s="47">
        <v>20443</v>
      </c>
      <c r="AS10" s="47">
        <v>39557</v>
      </c>
      <c r="AT10" s="47">
        <v>0</v>
      </c>
      <c r="AU10" s="42">
        <f t="shared" si="6"/>
        <v>60000</v>
      </c>
      <c r="AV10" s="32">
        <f t="shared" si="7"/>
        <v>20443</v>
      </c>
      <c r="AW10" s="32">
        <f t="shared" si="7"/>
        <v>39557</v>
      </c>
      <c r="AX10" s="32">
        <v>0</v>
      </c>
      <c r="AY10" s="33">
        <f t="shared" ref="AY10:AY33" si="22">AT10</f>
        <v>0</v>
      </c>
      <c r="AZ10" s="36">
        <f t="shared" si="8"/>
        <v>0</v>
      </c>
      <c r="BA10" s="47">
        <v>0</v>
      </c>
      <c r="BB10" s="47">
        <v>0</v>
      </c>
      <c r="BC10" s="47">
        <v>0</v>
      </c>
      <c r="BD10" s="47">
        <v>0</v>
      </c>
      <c r="BE10" s="161">
        <f t="shared" si="9"/>
        <v>0</v>
      </c>
      <c r="BF10" s="32">
        <f t="shared" si="10"/>
        <v>0</v>
      </c>
      <c r="BG10" s="32">
        <f t="shared" si="10"/>
        <v>0</v>
      </c>
      <c r="BH10" s="32">
        <f t="shared" si="10"/>
        <v>0</v>
      </c>
      <c r="BI10" s="33">
        <f t="shared" si="10"/>
        <v>0</v>
      </c>
      <c r="BJ10" s="36">
        <f t="shared" si="11"/>
        <v>0</v>
      </c>
      <c r="BK10" s="47">
        <v>0</v>
      </c>
      <c r="BL10" s="47">
        <v>0</v>
      </c>
      <c r="BM10" s="47">
        <v>0</v>
      </c>
      <c r="BN10" s="37">
        <f t="shared" si="12"/>
        <v>0</v>
      </c>
      <c r="BO10" s="32">
        <f t="shared" si="13"/>
        <v>0</v>
      </c>
      <c r="BP10" s="32">
        <f t="shared" si="13"/>
        <v>0</v>
      </c>
      <c r="BQ10" s="33">
        <f t="shared" si="13"/>
        <v>0</v>
      </c>
      <c r="BR10" s="38">
        <f t="shared" si="14"/>
        <v>0</v>
      </c>
      <c r="BS10" s="33">
        <f t="shared" si="15"/>
        <v>0</v>
      </c>
      <c r="BT10" s="39">
        <f>I10+K10+AE10+AQ10+AZ10+BJ10+BR10</f>
        <v>154849.9</v>
      </c>
      <c r="BU10" s="40">
        <f>I10+Y10+AK10+AU10+BE10+BN10+BS10</f>
        <v>154849.9</v>
      </c>
      <c r="BV10" s="20">
        <f t="shared" si="17"/>
        <v>0</v>
      </c>
      <c r="BW10" s="21" t="s">
        <v>95</v>
      </c>
    </row>
    <row r="11" spans="1:83" s="21" customFormat="1" ht="20.25" customHeight="1" x14ac:dyDescent="0.2">
      <c r="A11" s="22">
        <v>1</v>
      </c>
      <c r="B11" s="24" t="s">
        <v>76</v>
      </c>
      <c r="C11" s="23" t="s">
        <v>48</v>
      </c>
      <c r="D11" s="41" t="s">
        <v>96</v>
      </c>
      <c r="E11" s="96">
        <v>7</v>
      </c>
      <c r="F11" s="186" t="s">
        <v>65</v>
      </c>
      <c r="G11" s="108">
        <v>4074001531</v>
      </c>
      <c r="H11" s="83" t="s">
        <v>92</v>
      </c>
      <c r="I11" s="26">
        <v>414.78800000000001</v>
      </c>
      <c r="J11" s="166"/>
      <c r="K11" s="27">
        <f t="shared" si="0"/>
        <v>30585.22</v>
      </c>
      <c r="L11" s="82">
        <v>30585.22</v>
      </c>
      <c r="M11" s="82">
        <v>0</v>
      </c>
      <c r="N11" s="82">
        <v>0</v>
      </c>
      <c r="O11" s="28">
        <v>0</v>
      </c>
      <c r="P11" s="29">
        <v>3133</v>
      </c>
      <c r="Q11" s="29">
        <v>5331</v>
      </c>
      <c r="R11" s="163">
        <v>30585212</v>
      </c>
      <c r="S11" s="27">
        <f t="shared" si="16"/>
        <v>-15000</v>
      </c>
      <c r="T11" s="30">
        <v>-15000</v>
      </c>
      <c r="U11" s="30">
        <v>0</v>
      </c>
      <c r="V11" s="47">
        <v>0</v>
      </c>
      <c r="W11" s="47">
        <v>0</v>
      </c>
      <c r="X11" s="164">
        <v>-15000000</v>
      </c>
      <c r="Y11" s="42">
        <f t="shared" si="1"/>
        <v>15585.220000000001</v>
      </c>
      <c r="Z11" s="32">
        <f t="shared" si="2"/>
        <v>15585.220000000001</v>
      </c>
      <c r="AA11" s="32">
        <f t="shared" si="2"/>
        <v>0</v>
      </c>
      <c r="AB11" s="32">
        <f t="shared" si="2"/>
        <v>0</v>
      </c>
      <c r="AC11" s="32">
        <f t="shared" si="2"/>
        <v>0</v>
      </c>
      <c r="AD11" s="33">
        <f>X11</f>
        <v>-15000000</v>
      </c>
      <c r="AE11" s="36">
        <f t="shared" si="3"/>
        <v>0</v>
      </c>
      <c r="AF11" s="47">
        <v>0</v>
      </c>
      <c r="AG11" s="47">
        <v>0</v>
      </c>
      <c r="AH11" s="47">
        <v>0</v>
      </c>
      <c r="AI11" s="47">
        <v>0</v>
      </c>
      <c r="AJ11" s="47">
        <v>0</v>
      </c>
      <c r="AK11" s="42">
        <f t="shared" si="20"/>
        <v>15000</v>
      </c>
      <c r="AL11" s="32">
        <f>AF11+15000</f>
        <v>15000</v>
      </c>
      <c r="AM11" s="32">
        <f>AG11</f>
        <v>0</v>
      </c>
      <c r="AN11" s="32">
        <f>AH11</f>
        <v>0</v>
      </c>
      <c r="AO11" s="208">
        <v>0</v>
      </c>
      <c r="AP11" s="33">
        <f t="shared" ref="AP11:AP26" si="23">AJ11</f>
        <v>0</v>
      </c>
      <c r="AQ11" s="36">
        <f t="shared" si="5"/>
        <v>0</v>
      </c>
      <c r="AR11" s="47">
        <v>0</v>
      </c>
      <c r="AS11" s="47">
        <v>0</v>
      </c>
      <c r="AT11" s="47">
        <v>0</v>
      </c>
      <c r="AU11" s="42">
        <f t="shared" si="6"/>
        <v>0</v>
      </c>
      <c r="AV11" s="32">
        <f t="shared" si="7"/>
        <v>0</v>
      </c>
      <c r="AW11" s="32">
        <f t="shared" si="7"/>
        <v>0</v>
      </c>
      <c r="AX11" s="32">
        <v>0</v>
      </c>
      <c r="AY11" s="33">
        <f t="shared" si="22"/>
        <v>0</v>
      </c>
      <c r="AZ11" s="36">
        <f t="shared" si="8"/>
        <v>0</v>
      </c>
      <c r="BA11" s="47">
        <v>0</v>
      </c>
      <c r="BB11" s="47">
        <v>0</v>
      </c>
      <c r="BC11" s="47">
        <v>0</v>
      </c>
      <c r="BD11" s="47">
        <v>0</v>
      </c>
      <c r="BE11" s="161">
        <f t="shared" si="9"/>
        <v>0</v>
      </c>
      <c r="BF11" s="32">
        <f t="shared" si="10"/>
        <v>0</v>
      </c>
      <c r="BG11" s="32">
        <f t="shared" si="10"/>
        <v>0</v>
      </c>
      <c r="BH11" s="32">
        <f t="shared" si="10"/>
        <v>0</v>
      </c>
      <c r="BI11" s="33">
        <f t="shared" si="10"/>
        <v>0</v>
      </c>
      <c r="BJ11" s="36">
        <f t="shared" si="11"/>
        <v>0</v>
      </c>
      <c r="BK11" s="47">
        <v>0</v>
      </c>
      <c r="BL11" s="47">
        <v>0</v>
      </c>
      <c r="BM11" s="47">
        <v>0</v>
      </c>
      <c r="BN11" s="37">
        <f t="shared" si="12"/>
        <v>0</v>
      </c>
      <c r="BO11" s="32">
        <f t="shared" si="13"/>
        <v>0</v>
      </c>
      <c r="BP11" s="32">
        <f t="shared" si="13"/>
        <v>0</v>
      </c>
      <c r="BQ11" s="33">
        <f t="shared" si="13"/>
        <v>0</v>
      </c>
      <c r="BR11" s="38">
        <f t="shared" si="14"/>
        <v>0</v>
      </c>
      <c r="BS11" s="33">
        <f t="shared" si="15"/>
        <v>0</v>
      </c>
      <c r="BT11" s="39">
        <f>I11+K11+AE11+AQ11+AZ11+BJ11+BR11</f>
        <v>31000.008000000002</v>
      </c>
      <c r="BU11" s="40">
        <f>I11+Y11+AK11+AU11+BE11+BN11+BS11</f>
        <v>31000.008000000002</v>
      </c>
      <c r="BV11" s="20">
        <f t="shared" si="17"/>
        <v>0</v>
      </c>
      <c r="BX11" s="21" t="s">
        <v>99</v>
      </c>
    </row>
    <row r="12" spans="1:83" s="21" customFormat="1" ht="23.25" customHeight="1" x14ac:dyDescent="0.2">
      <c r="A12" s="22">
        <v>1</v>
      </c>
      <c r="B12" s="24" t="s">
        <v>76</v>
      </c>
      <c r="C12" s="23" t="s">
        <v>48</v>
      </c>
      <c r="D12" s="96">
        <v>7</v>
      </c>
      <c r="E12" s="96">
        <v>7</v>
      </c>
      <c r="F12" s="322" t="s">
        <v>67</v>
      </c>
      <c r="G12" s="108">
        <v>4202000000</v>
      </c>
      <c r="H12" s="119"/>
      <c r="I12" s="120"/>
      <c r="J12" s="166"/>
      <c r="K12" s="173">
        <v>150</v>
      </c>
      <c r="L12" s="82">
        <v>150</v>
      </c>
      <c r="M12" s="82">
        <v>0</v>
      </c>
      <c r="N12" s="82">
        <v>0</v>
      </c>
      <c r="O12" s="28">
        <v>0</v>
      </c>
      <c r="P12" s="29">
        <v>3114</v>
      </c>
      <c r="Q12" s="29">
        <v>6121</v>
      </c>
      <c r="R12" s="163" t="s">
        <v>44</v>
      </c>
      <c r="S12" s="27">
        <f t="shared" si="16"/>
        <v>-150</v>
      </c>
      <c r="T12" s="30">
        <v>-150</v>
      </c>
      <c r="U12" s="30">
        <v>0</v>
      </c>
      <c r="V12" s="47">
        <v>0</v>
      </c>
      <c r="W12" s="47">
        <v>0</v>
      </c>
      <c r="X12" s="163" t="s">
        <v>44</v>
      </c>
      <c r="Y12" s="42">
        <f>Z12+AA12</f>
        <v>0</v>
      </c>
      <c r="Z12" s="32">
        <f>L12+T12</f>
        <v>0</v>
      </c>
      <c r="AA12" s="32">
        <f t="shared" si="2"/>
        <v>0</v>
      </c>
      <c r="AB12" s="32"/>
      <c r="AC12" s="32">
        <f t="shared" si="2"/>
        <v>0</v>
      </c>
      <c r="AD12" s="162" t="s">
        <v>44</v>
      </c>
      <c r="AE12" s="36">
        <v>0</v>
      </c>
      <c r="AF12" s="47">
        <v>0</v>
      </c>
      <c r="AG12" s="47">
        <v>0</v>
      </c>
      <c r="AH12" s="47"/>
      <c r="AI12" s="47">
        <v>0</v>
      </c>
      <c r="AJ12" s="47">
        <v>0</v>
      </c>
      <c r="AK12" s="42">
        <f>AL12+AM12</f>
        <v>0</v>
      </c>
      <c r="AL12" s="32">
        <v>0</v>
      </c>
      <c r="AM12" s="32">
        <f t="shared" ref="AM12" si="24">AG12</f>
        <v>0</v>
      </c>
      <c r="AN12" s="32">
        <f t="shared" ref="AN12" si="25">AH12</f>
        <v>0</v>
      </c>
      <c r="AO12" s="208">
        <v>0</v>
      </c>
      <c r="AP12" s="33">
        <f t="shared" ref="AP12" si="26">AJ12</f>
        <v>0</v>
      </c>
      <c r="AQ12" s="36">
        <f t="shared" ref="AQ12" si="27">AR12+AS12</f>
        <v>0</v>
      </c>
      <c r="AR12" s="47">
        <v>0</v>
      </c>
      <c r="AS12" s="47">
        <v>0</v>
      </c>
      <c r="AT12" s="47">
        <v>0</v>
      </c>
      <c r="AU12" s="42">
        <f t="shared" ref="AU12" si="28">AV12+AW12</f>
        <v>0</v>
      </c>
      <c r="AV12" s="32">
        <f t="shared" ref="AV12" si="29">AR12</f>
        <v>0</v>
      </c>
      <c r="AW12" s="32">
        <f t="shared" ref="AW12" si="30">AS12</f>
        <v>0</v>
      </c>
      <c r="AX12" s="32">
        <v>0</v>
      </c>
      <c r="AY12" s="33">
        <f t="shared" ref="AY12" si="31">AT12</f>
        <v>0</v>
      </c>
      <c r="AZ12" s="36">
        <f t="shared" ref="AZ12" si="32">BA12+BB12</f>
        <v>0</v>
      </c>
      <c r="BA12" s="47">
        <v>0</v>
      </c>
      <c r="BB12" s="47">
        <v>0</v>
      </c>
      <c r="BC12" s="47">
        <v>0</v>
      </c>
      <c r="BD12" s="47">
        <v>0</v>
      </c>
      <c r="BE12" s="161">
        <f t="shared" ref="BE12" si="33">BF12+BG12</f>
        <v>0</v>
      </c>
      <c r="BF12" s="32">
        <f t="shared" ref="BF12" si="34">BA12</f>
        <v>0</v>
      </c>
      <c r="BG12" s="32">
        <f t="shared" ref="BG12" si="35">BB12</f>
        <v>0</v>
      </c>
      <c r="BH12" s="32">
        <f t="shared" ref="BH12" si="36">BC12</f>
        <v>0</v>
      </c>
      <c r="BI12" s="33">
        <f t="shared" ref="BI12" si="37">BD12</f>
        <v>0</v>
      </c>
      <c r="BJ12" s="36">
        <f t="shared" ref="BJ12" si="38">BK12</f>
        <v>0</v>
      </c>
      <c r="BK12" s="47">
        <v>0</v>
      </c>
      <c r="BL12" s="47">
        <v>0</v>
      </c>
      <c r="BM12" s="47">
        <v>0</v>
      </c>
      <c r="BN12" s="37">
        <f t="shared" ref="BN12" si="39">BO12</f>
        <v>0</v>
      </c>
      <c r="BO12" s="32">
        <f t="shared" ref="BO12" si="40">BK12</f>
        <v>0</v>
      </c>
      <c r="BP12" s="32">
        <f t="shared" ref="BP12" si="41">BL12</f>
        <v>0</v>
      </c>
      <c r="BQ12" s="33">
        <f t="shared" ref="BQ12" si="42">BM12</f>
        <v>0</v>
      </c>
      <c r="BR12" s="38">
        <f t="shared" ref="BR12" si="43">BM12+BD12+AT12+AJ12+N12</f>
        <v>0</v>
      </c>
      <c r="BS12" s="33">
        <f>BQ12+BI12+AY12+AB12+AP12</f>
        <v>0</v>
      </c>
      <c r="BT12" s="221">
        <f>I12+K12+AE12+AQ12+AZ12+BJ12+BR12+K13</f>
        <v>7500</v>
      </c>
      <c r="BU12" s="219">
        <f>I13+Y13+AK13+AU13+BE13+BN13+BS13</f>
        <v>7500</v>
      </c>
      <c r="BV12" s="20">
        <f t="shared" si="17"/>
        <v>0</v>
      </c>
    </row>
    <row r="13" spans="1:83" s="21" customFormat="1" ht="27" customHeight="1" x14ac:dyDescent="0.2">
      <c r="A13" s="22">
        <v>1</v>
      </c>
      <c r="B13" s="24" t="s">
        <v>76</v>
      </c>
      <c r="C13" s="24" t="s">
        <v>48</v>
      </c>
      <c r="D13" s="41" t="s">
        <v>96</v>
      </c>
      <c r="E13" s="96">
        <v>7</v>
      </c>
      <c r="F13" s="323"/>
      <c r="G13" s="108">
        <v>4202001505</v>
      </c>
      <c r="H13" s="83" t="s">
        <v>92</v>
      </c>
      <c r="I13" s="26">
        <v>0</v>
      </c>
      <c r="J13" s="166"/>
      <c r="K13" s="27">
        <v>7350</v>
      </c>
      <c r="L13" s="82">
        <v>7350</v>
      </c>
      <c r="M13" s="82">
        <v>0</v>
      </c>
      <c r="N13" s="82">
        <v>0</v>
      </c>
      <c r="O13" s="28">
        <v>0</v>
      </c>
      <c r="P13" s="29">
        <v>3114</v>
      </c>
      <c r="Q13" s="29">
        <v>6351</v>
      </c>
      <c r="R13" s="163">
        <v>7350000</v>
      </c>
      <c r="S13" s="27">
        <f t="shared" si="16"/>
        <v>-6850</v>
      </c>
      <c r="T13" s="30">
        <v>-6850</v>
      </c>
      <c r="U13" s="30">
        <v>0</v>
      </c>
      <c r="V13" s="47">
        <v>0</v>
      </c>
      <c r="W13" s="47">
        <v>0</v>
      </c>
      <c r="X13" s="164">
        <v>-6850000</v>
      </c>
      <c r="Y13" s="42">
        <f>Z13+AA13</f>
        <v>500</v>
      </c>
      <c r="Z13" s="32">
        <f>L13+T13</f>
        <v>500</v>
      </c>
      <c r="AA13" s="32">
        <f t="shared" si="2"/>
        <v>0</v>
      </c>
      <c r="AB13" s="32">
        <f t="shared" si="2"/>
        <v>0</v>
      </c>
      <c r="AC13" s="32">
        <f t="shared" si="2"/>
        <v>0</v>
      </c>
      <c r="AD13" s="33">
        <f t="shared" si="18"/>
        <v>-6850000</v>
      </c>
      <c r="AE13" s="36">
        <f t="shared" si="3"/>
        <v>0</v>
      </c>
      <c r="AF13" s="47">
        <v>0</v>
      </c>
      <c r="AG13" s="47">
        <v>0</v>
      </c>
      <c r="AH13" s="47">
        <v>0</v>
      </c>
      <c r="AI13" s="47">
        <v>0</v>
      </c>
      <c r="AJ13" s="47">
        <v>0</v>
      </c>
      <c r="AK13" s="42">
        <f t="shared" si="20"/>
        <v>7000</v>
      </c>
      <c r="AL13" s="32">
        <f>AF13+7000</f>
        <v>7000</v>
      </c>
      <c r="AM13" s="32">
        <f>AG13</f>
        <v>0</v>
      </c>
      <c r="AN13" s="32">
        <f>AH13</f>
        <v>0</v>
      </c>
      <c r="AO13" s="208">
        <v>0</v>
      </c>
      <c r="AP13" s="33">
        <f t="shared" si="23"/>
        <v>0</v>
      </c>
      <c r="AQ13" s="36">
        <f t="shared" si="5"/>
        <v>0</v>
      </c>
      <c r="AR13" s="47">
        <v>0</v>
      </c>
      <c r="AS13" s="47">
        <v>0</v>
      </c>
      <c r="AT13" s="47">
        <v>0</v>
      </c>
      <c r="AU13" s="42">
        <f t="shared" si="6"/>
        <v>0</v>
      </c>
      <c r="AV13" s="32">
        <f t="shared" si="7"/>
        <v>0</v>
      </c>
      <c r="AW13" s="32">
        <f t="shared" si="7"/>
        <v>0</v>
      </c>
      <c r="AX13" s="32">
        <v>0</v>
      </c>
      <c r="AY13" s="33">
        <f t="shared" si="22"/>
        <v>0</v>
      </c>
      <c r="AZ13" s="36">
        <f t="shared" si="8"/>
        <v>0</v>
      </c>
      <c r="BA13" s="47">
        <v>0</v>
      </c>
      <c r="BB13" s="47">
        <v>0</v>
      </c>
      <c r="BC13" s="47">
        <v>0</v>
      </c>
      <c r="BD13" s="47">
        <v>0</v>
      </c>
      <c r="BE13" s="161">
        <f t="shared" si="9"/>
        <v>0</v>
      </c>
      <c r="BF13" s="32">
        <f t="shared" si="10"/>
        <v>0</v>
      </c>
      <c r="BG13" s="32">
        <f t="shared" si="10"/>
        <v>0</v>
      </c>
      <c r="BH13" s="32">
        <f t="shared" si="10"/>
        <v>0</v>
      </c>
      <c r="BI13" s="33">
        <f t="shared" si="10"/>
        <v>0</v>
      </c>
      <c r="BJ13" s="36">
        <f t="shared" si="11"/>
        <v>0</v>
      </c>
      <c r="BK13" s="47">
        <v>0</v>
      </c>
      <c r="BL13" s="47">
        <v>0</v>
      </c>
      <c r="BM13" s="47">
        <v>0</v>
      </c>
      <c r="BN13" s="37">
        <f t="shared" si="12"/>
        <v>0</v>
      </c>
      <c r="BO13" s="32">
        <f t="shared" si="13"/>
        <v>0</v>
      </c>
      <c r="BP13" s="32">
        <f t="shared" si="13"/>
        <v>0</v>
      </c>
      <c r="BQ13" s="33">
        <f t="shared" si="13"/>
        <v>0</v>
      </c>
      <c r="BR13" s="38">
        <f t="shared" si="14"/>
        <v>0</v>
      </c>
      <c r="BS13" s="33">
        <f t="shared" si="15"/>
        <v>0</v>
      </c>
      <c r="BT13" s="222"/>
      <c r="BU13" s="220"/>
      <c r="BV13" s="20">
        <f t="shared" si="17"/>
        <v>0</v>
      </c>
      <c r="BX13" s="21" t="s">
        <v>99</v>
      </c>
    </row>
    <row r="14" spans="1:83" s="21" customFormat="1" ht="42.75" customHeight="1" x14ac:dyDescent="0.2">
      <c r="A14" s="22">
        <v>1</v>
      </c>
      <c r="B14" s="24" t="s">
        <v>76</v>
      </c>
      <c r="C14" s="24" t="s">
        <v>43</v>
      </c>
      <c r="D14" s="41" t="s">
        <v>96</v>
      </c>
      <c r="E14" s="96">
        <v>7</v>
      </c>
      <c r="F14" s="186" t="s">
        <v>46</v>
      </c>
      <c r="G14" s="108">
        <v>4114</v>
      </c>
      <c r="H14" s="83" t="s">
        <v>87</v>
      </c>
      <c r="I14" s="26">
        <v>647.35</v>
      </c>
      <c r="J14" s="166"/>
      <c r="K14" s="27">
        <f t="shared" si="0"/>
        <v>9572.6</v>
      </c>
      <c r="L14" s="82">
        <v>9572.6</v>
      </c>
      <c r="M14" s="82">
        <v>0</v>
      </c>
      <c r="N14" s="82">
        <v>0</v>
      </c>
      <c r="O14" s="28">
        <v>0</v>
      </c>
      <c r="P14" s="29">
        <v>3114</v>
      </c>
      <c r="Q14" s="29">
        <v>6121</v>
      </c>
      <c r="R14" s="163" t="s">
        <v>44</v>
      </c>
      <c r="S14" s="27">
        <f t="shared" si="16"/>
        <v>-9300</v>
      </c>
      <c r="T14" s="30">
        <v>-9300</v>
      </c>
      <c r="U14" s="30">
        <v>0</v>
      </c>
      <c r="V14" s="47">
        <v>0</v>
      </c>
      <c r="W14" s="47">
        <v>0</v>
      </c>
      <c r="X14" s="163" t="s">
        <v>44</v>
      </c>
      <c r="Y14" s="42">
        <f t="shared" si="1"/>
        <v>272.60000000000036</v>
      </c>
      <c r="Z14" s="32">
        <f t="shared" si="2"/>
        <v>272.60000000000036</v>
      </c>
      <c r="AA14" s="32">
        <f t="shared" si="2"/>
        <v>0</v>
      </c>
      <c r="AB14" s="32">
        <f t="shared" si="2"/>
        <v>0</v>
      </c>
      <c r="AC14" s="32">
        <f t="shared" si="2"/>
        <v>0</v>
      </c>
      <c r="AD14" s="162" t="str">
        <f>X14</f>
        <v>x</v>
      </c>
      <c r="AE14" s="36">
        <f t="shared" si="3"/>
        <v>15000</v>
      </c>
      <c r="AF14" s="47">
        <v>15000</v>
      </c>
      <c r="AG14" s="47">
        <v>0</v>
      </c>
      <c r="AH14" s="47">
        <v>0</v>
      </c>
      <c r="AI14" s="47">
        <v>0</v>
      </c>
      <c r="AJ14" s="47">
        <v>0</v>
      </c>
      <c r="AK14" s="42">
        <f t="shared" si="20"/>
        <v>24300</v>
      </c>
      <c r="AL14" s="32">
        <f>AF14+9300</f>
        <v>24300</v>
      </c>
      <c r="AM14" s="32">
        <f>AG14</f>
        <v>0</v>
      </c>
      <c r="AN14" s="32">
        <f>AH14</f>
        <v>0</v>
      </c>
      <c r="AO14" s="208">
        <v>0</v>
      </c>
      <c r="AP14" s="33">
        <f t="shared" si="23"/>
        <v>0</v>
      </c>
      <c r="AQ14" s="36">
        <f t="shared" si="5"/>
        <v>0</v>
      </c>
      <c r="AR14" s="47">
        <v>0</v>
      </c>
      <c r="AS14" s="47">
        <v>0</v>
      </c>
      <c r="AT14" s="47">
        <v>0</v>
      </c>
      <c r="AU14" s="42">
        <f t="shared" si="6"/>
        <v>0</v>
      </c>
      <c r="AV14" s="32">
        <f t="shared" si="7"/>
        <v>0</v>
      </c>
      <c r="AW14" s="32">
        <f t="shared" si="7"/>
        <v>0</v>
      </c>
      <c r="AX14" s="32">
        <v>0</v>
      </c>
      <c r="AY14" s="33">
        <f t="shared" si="22"/>
        <v>0</v>
      </c>
      <c r="AZ14" s="36">
        <f t="shared" si="8"/>
        <v>0</v>
      </c>
      <c r="BA14" s="47">
        <v>0</v>
      </c>
      <c r="BB14" s="47">
        <v>0</v>
      </c>
      <c r="BC14" s="47">
        <v>0</v>
      </c>
      <c r="BD14" s="47">
        <v>0</v>
      </c>
      <c r="BE14" s="161">
        <f t="shared" si="9"/>
        <v>0</v>
      </c>
      <c r="BF14" s="32">
        <f t="shared" si="10"/>
        <v>0</v>
      </c>
      <c r="BG14" s="32">
        <f t="shared" si="10"/>
        <v>0</v>
      </c>
      <c r="BH14" s="32">
        <f t="shared" si="10"/>
        <v>0</v>
      </c>
      <c r="BI14" s="33">
        <f t="shared" si="10"/>
        <v>0</v>
      </c>
      <c r="BJ14" s="36">
        <f t="shared" si="11"/>
        <v>0</v>
      </c>
      <c r="BK14" s="47">
        <v>0</v>
      </c>
      <c r="BL14" s="47">
        <v>0</v>
      </c>
      <c r="BM14" s="47">
        <v>0</v>
      </c>
      <c r="BN14" s="37">
        <f t="shared" si="12"/>
        <v>0</v>
      </c>
      <c r="BO14" s="32">
        <f t="shared" si="13"/>
        <v>0</v>
      </c>
      <c r="BP14" s="32">
        <f t="shared" si="13"/>
        <v>0</v>
      </c>
      <c r="BQ14" s="33">
        <f t="shared" si="13"/>
        <v>0</v>
      </c>
      <c r="BR14" s="38">
        <f t="shared" si="14"/>
        <v>0</v>
      </c>
      <c r="BS14" s="33">
        <f t="shared" si="15"/>
        <v>0</v>
      </c>
      <c r="BT14" s="39">
        <f t="shared" ref="BT14:BT23" si="44">I14+K14+AE14+AQ14+AZ14+BJ14+BR14</f>
        <v>25219.95</v>
      </c>
      <c r="BU14" s="40">
        <f t="shared" ref="BU14:BU23" si="45">I14+Y14+AK14+AU14+BE14+BN14+BS14</f>
        <v>25219.95</v>
      </c>
      <c r="BV14" s="20">
        <f t="shared" si="17"/>
        <v>0</v>
      </c>
      <c r="BW14" s="21" t="s">
        <v>99</v>
      </c>
    </row>
    <row r="15" spans="1:83" s="21" customFormat="1" ht="42.75" customHeight="1" x14ac:dyDescent="0.2">
      <c r="A15" s="22">
        <v>1</v>
      </c>
      <c r="B15" s="24" t="s">
        <v>76</v>
      </c>
      <c r="C15" s="24" t="s">
        <v>43</v>
      </c>
      <c r="D15" s="41" t="s">
        <v>83</v>
      </c>
      <c r="E15" s="96">
        <v>7</v>
      </c>
      <c r="F15" s="186" t="s">
        <v>51</v>
      </c>
      <c r="G15" s="108">
        <v>57304</v>
      </c>
      <c r="H15" s="83" t="s">
        <v>81</v>
      </c>
      <c r="I15" s="26">
        <f>3424.02+5</f>
        <v>3429.02</v>
      </c>
      <c r="J15" s="166"/>
      <c r="K15" s="27">
        <f t="shared" si="0"/>
        <v>128794.34999999999</v>
      </c>
      <c r="L15" s="82">
        <v>598.70000000000005</v>
      </c>
      <c r="M15" s="82">
        <v>128195.65</v>
      </c>
      <c r="N15" s="82">
        <v>0</v>
      </c>
      <c r="O15" s="28">
        <v>0</v>
      </c>
      <c r="P15" s="29">
        <v>3114</v>
      </c>
      <c r="Q15" s="29">
        <v>6121</v>
      </c>
      <c r="R15" s="163" t="s">
        <v>44</v>
      </c>
      <c r="S15" s="27">
        <f t="shared" si="16"/>
        <v>-65000</v>
      </c>
      <c r="T15" s="30">
        <v>0</v>
      </c>
      <c r="U15" s="30">
        <v>-65000</v>
      </c>
      <c r="V15" s="47">
        <v>0</v>
      </c>
      <c r="W15" s="47">
        <v>0</v>
      </c>
      <c r="X15" s="163" t="s">
        <v>44</v>
      </c>
      <c r="Y15" s="42">
        <f t="shared" si="1"/>
        <v>63794.349999999991</v>
      </c>
      <c r="Z15" s="32">
        <f t="shared" si="2"/>
        <v>598.70000000000005</v>
      </c>
      <c r="AA15" s="32">
        <f t="shared" si="2"/>
        <v>63195.649999999994</v>
      </c>
      <c r="AB15" s="32">
        <f t="shared" si="2"/>
        <v>0</v>
      </c>
      <c r="AC15" s="32">
        <f t="shared" si="2"/>
        <v>0</v>
      </c>
      <c r="AD15" s="162" t="str">
        <f t="shared" si="18"/>
        <v>x</v>
      </c>
      <c r="AE15" s="36">
        <f t="shared" si="3"/>
        <v>77000</v>
      </c>
      <c r="AF15" s="47">
        <v>0</v>
      </c>
      <c r="AG15" s="47">
        <f>77000</f>
        <v>77000</v>
      </c>
      <c r="AH15" s="47">
        <v>0</v>
      </c>
      <c r="AI15" s="47">
        <v>0</v>
      </c>
      <c r="AJ15" s="47">
        <v>0</v>
      </c>
      <c r="AK15" s="42">
        <f t="shared" si="20"/>
        <v>142000</v>
      </c>
      <c r="AL15" s="32">
        <f>AF15</f>
        <v>0</v>
      </c>
      <c r="AM15" s="32">
        <f>AG15+65000</f>
        <v>142000</v>
      </c>
      <c r="AN15" s="32">
        <f t="shared" ref="AN15:AN23" si="46">AH15</f>
        <v>0</v>
      </c>
      <c r="AO15" s="208">
        <v>0</v>
      </c>
      <c r="AP15" s="33">
        <f t="shared" si="23"/>
        <v>0</v>
      </c>
      <c r="AQ15" s="36">
        <f t="shared" si="5"/>
        <v>0</v>
      </c>
      <c r="AR15" s="47">
        <v>0</v>
      </c>
      <c r="AS15" s="47">
        <v>0</v>
      </c>
      <c r="AT15" s="47">
        <v>0</v>
      </c>
      <c r="AU15" s="42">
        <f t="shared" si="6"/>
        <v>0</v>
      </c>
      <c r="AV15" s="32">
        <f t="shared" si="7"/>
        <v>0</v>
      </c>
      <c r="AW15" s="32">
        <f t="shared" si="7"/>
        <v>0</v>
      </c>
      <c r="AX15" s="32">
        <v>0</v>
      </c>
      <c r="AY15" s="33">
        <f t="shared" si="22"/>
        <v>0</v>
      </c>
      <c r="AZ15" s="36">
        <f t="shared" si="8"/>
        <v>0</v>
      </c>
      <c r="BA15" s="47">
        <v>0</v>
      </c>
      <c r="BB15" s="47">
        <v>0</v>
      </c>
      <c r="BC15" s="47">
        <v>0</v>
      </c>
      <c r="BD15" s="47">
        <v>0</v>
      </c>
      <c r="BE15" s="161">
        <f t="shared" si="9"/>
        <v>0</v>
      </c>
      <c r="BF15" s="32">
        <f t="shared" si="10"/>
        <v>0</v>
      </c>
      <c r="BG15" s="32">
        <f t="shared" si="10"/>
        <v>0</v>
      </c>
      <c r="BH15" s="32">
        <f t="shared" si="10"/>
        <v>0</v>
      </c>
      <c r="BI15" s="33">
        <f t="shared" si="10"/>
        <v>0</v>
      </c>
      <c r="BJ15" s="36">
        <f t="shared" si="11"/>
        <v>0</v>
      </c>
      <c r="BK15" s="47">
        <v>0</v>
      </c>
      <c r="BL15" s="47">
        <v>0</v>
      </c>
      <c r="BM15" s="47">
        <v>0</v>
      </c>
      <c r="BN15" s="37">
        <f t="shared" si="12"/>
        <v>0</v>
      </c>
      <c r="BO15" s="32">
        <f t="shared" si="13"/>
        <v>0</v>
      </c>
      <c r="BP15" s="32">
        <f t="shared" si="13"/>
        <v>0</v>
      </c>
      <c r="BQ15" s="33">
        <f t="shared" si="13"/>
        <v>0</v>
      </c>
      <c r="BR15" s="38">
        <f t="shared" si="14"/>
        <v>0</v>
      </c>
      <c r="BS15" s="33">
        <f t="shared" si="15"/>
        <v>0</v>
      </c>
      <c r="BT15" s="39">
        <f t="shared" si="44"/>
        <v>209223.37</v>
      </c>
      <c r="BU15" s="40">
        <f t="shared" si="45"/>
        <v>209223.37</v>
      </c>
      <c r="BV15" s="20">
        <f t="shared" si="17"/>
        <v>0</v>
      </c>
      <c r="BW15" s="21" t="s">
        <v>99</v>
      </c>
    </row>
    <row r="16" spans="1:83" s="21" customFormat="1" ht="27.75" customHeight="1" x14ac:dyDescent="0.2">
      <c r="A16" s="22">
        <v>1</v>
      </c>
      <c r="B16" s="24" t="s">
        <v>76</v>
      </c>
      <c r="C16" s="24" t="s">
        <v>43</v>
      </c>
      <c r="D16" s="25" t="s">
        <v>83</v>
      </c>
      <c r="E16" s="96">
        <v>7</v>
      </c>
      <c r="F16" s="186" t="s">
        <v>68</v>
      </c>
      <c r="G16" s="109">
        <v>58344</v>
      </c>
      <c r="H16" s="83" t="s">
        <v>81</v>
      </c>
      <c r="I16" s="26">
        <f>2650+87.06</f>
        <v>2737.06</v>
      </c>
      <c r="J16" s="166"/>
      <c r="K16" s="27">
        <f t="shared" si="0"/>
        <v>48150</v>
      </c>
      <c r="L16" s="82">
        <v>8150</v>
      </c>
      <c r="M16" s="82">
        <v>40000</v>
      </c>
      <c r="N16" s="82">
        <v>0</v>
      </c>
      <c r="O16" s="28">
        <v>0</v>
      </c>
      <c r="P16" s="29">
        <v>3121</v>
      </c>
      <c r="Q16" s="29">
        <v>6121</v>
      </c>
      <c r="R16" s="163" t="s">
        <v>44</v>
      </c>
      <c r="S16" s="27">
        <f t="shared" si="16"/>
        <v>-20000</v>
      </c>
      <c r="T16" s="30">
        <v>0</v>
      </c>
      <c r="U16" s="30">
        <v>-20000</v>
      </c>
      <c r="V16" s="47">
        <v>0</v>
      </c>
      <c r="W16" s="47">
        <v>0</v>
      </c>
      <c r="X16" s="163" t="s">
        <v>44</v>
      </c>
      <c r="Y16" s="42">
        <f t="shared" si="1"/>
        <v>28150</v>
      </c>
      <c r="Z16" s="32">
        <f t="shared" si="2"/>
        <v>8150</v>
      </c>
      <c r="AA16" s="32">
        <f t="shared" si="2"/>
        <v>20000</v>
      </c>
      <c r="AB16" s="32">
        <f t="shared" si="2"/>
        <v>0</v>
      </c>
      <c r="AC16" s="32">
        <f t="shared" si="2"/>
        <v>0</v>
      </c>
      <c r="AD16" s="162" t="str">
        <f t="shared" si="18"/>
        <v>x</v>
      </c>
      <c r="AE16" s="36">
        <f t="shared" si="3"/>
        <v>30500</v>
      </c>
      <c r="AF16" s="47">
        <v>0</v>
      </c>
      <c r="AG16" s="47">
        <v>30500</v>
      </c>
      <c r="AH16" s="47">
        <v>0</v>
      </c>
      <c r="AI16" s="47">
        <v>0</v>
      </c>
      <c r="AJ16" s="47">
        <v>0</v>
      </c>
      <c r="AK16" s="42">
        <f t="shared" si="20"/>
        <v>50500</v>
      </c>
      <c r="AL16" s="32">
        <f>AF16</f>
        <v>0</v>
      </c>
      <c r="AM16" s="32">
        <f>AG16+20000</f>
        <v>50500</v>
      </c>
      <c r="AN16" s="32">
        <f t="shared" si="46"/>
        <v>0</v>
      </c>
      <c r="AO16" s="208">
        <v>0</v>
      </c>
      <c r="AP16" s="33">
        <f t="shared" si="23"/>
        <v>0</v>
      </c>
      <c r="AQ16" s="36">
        <f t="shared" si="5"/>
        <v>0</v>
      </c>
      <c r="AR16" s="47">
        <v>0</v>
      </c>
      <c r="AS16" s="47">
        <v>0</v>
      </c>
      <c r="AT16" s="47">
        <v>0</v>
      </c>
      <c r="AU16" s="42">
        <f t="shared" si="6"/>
        <v>0</v>
      </c>
      <c r="AV16" s="32">
        <f t="shared" si="7"/>
        <v>0</v>
      </c>
      <c r="AW16" s="32">
        <f t="shared" si="7"/>
        <v>0</v>
      </c>
      <c r="AX16" s="32">
        <v>0</v>
      </c>
      <c r="AY16" s="33">
        <f t="shared" si="22"/>
        <v>0</v>
      </c>
      <c r="AZ16" s="36">
        <f t="shared" si="8"/>
        <v>0</v>
      </c>
      <c r="BA16" s="47">
        <v>0</v>
      </c>
      <c r="BB16" s="47">
        <v>0</v>
      </c>
      <c r="BC16" s="47">
        <v>0</v>
      </c>
      <c r="BD16" s="47">
        <v>0</v>
      </c>
      <c r="BE16" s="161">
        <f t="shared" si="9"/>
        <v>0</v>
      </c>
      <c r="BF16" s="32">
        <f t="shared" si="10"/>
        <v>0</v>
      </c>
      <c r="BG16" s="32">
        <f t="shared" si="10"/>
        <v>0</v>
      </c>
      <c r="BH16" s="32">
        <f t="shared" si="10"/>
        <v>0</v>
      </c>
      <c r="BI16" s="33">
        <f t="shared" si="10"/>
        <v>0</v>
      </c>
      <c r="BJ16" s="36">
        <f t="shared" si="11"/>
        <v>0</v>
      </c>
      <c r="BK16" s="47">
        <v>0</v>
      </c>
      <c r="BL16" s="47">
        <v>0</v>
      </c>
      <c r="BM16" s="47">
        <v>0</v>
      </c>
      <c r="BN16" s="37">
        <f t="shared" si="12"/>
        <v>0</v>
      </c>
      <c r="BO16" s="32">
        <f t="shared" si="13"/>
        <v>0</v>
      </c>
      <c r="BP16" s="32">
        <f t="shared" si="13"/>
        <v>0</v>
      </c>
      <c r="BQ16" s="33">
        <f t="shared" si="13"/>
        <v>0</v>
      </c>
      <c r="BR16" s="38">
        <f t="shared" si="14"/>
        <v>0</v>
      </c>
      <c r="BS16" s="33">
        <f t="shared" si="15"/>
        <v>0</v>
      </c>
      <c r="BT16" s="39">
        <f t="shared" si="44"/>
        <v>81387.06</v>
      </c>
      <c r="BU16" s="40">
        <f t="shared" si="45"/>
        <v>81387.06</v>
      </c>
      <c r="BV16" s="20">
        <f t="shared" si="17"/>
        <v>0</v>
      </c>
      <c r="BW16" s="21" t="s">
        <v>99</v>
      </c>
    </row>
    <row r="17" spans="1:76" s="21" customFormat="1" ht="32.25" customHeight="1" x14ac:dyDescent="0.2">
      <c r="A17" s="22">
        <v>1</v>
      </c>
      <c r="B17" s="24" t="s">
        <v>76</v>
      </c>
      <c r="C17" s="24" t="s">
        <v>43</v>
      </c>
      <c r="D17" s="41" t="s">
        <v>96</v>
      </c>
      <c r="E17" s="96">
        <v>7</v>
      </c>
      <c r="F17" s="186" t="s">
        <v>47</v>
      </c>
      <c r="G17" s="109">
        <v>5868</v>
      </c>
      <c r="H17" s="83" t="s">
        <v>85</v>
      </c>
      <c r="I17" s="26">
        <v>1742.1669999999999</v>
      </c>
      <c r="J17" s="166"/>
      <c r="K17" s="27">
        <f t="shared" si="0"/>
        <v>5258.82</v>
      </c>
      <c r="L17" s="82">
        <v>5258.82</v>
      </c>
      <c r="M17" s="82">
        <v>0</v>
      </c>
      <c r="N17" s="82">
        <v>0</v>
      </c>
      <c r="O17" s="28">
        <v>0</v>
      </c>
      <c r="P17" s="29">
        <v>3122</v>
      </c>
      <c r="Q17" s="29">
        <v>6121</v>
      </c>
      <c r="R17" s="163" t="s">
        <v>44</v>
      </c>
      <c r="S17" s="27">
        <f t="shared" si="16"/>
        <v>-5000</v>
      </c>
      <c r="T17" s="30">
        <v>-5000</v>
      </c>
      <c r="U17" s="30">
        <v>0</v>
      </c>
      <c r="V17" s="47">
        <v>0</v>
      </c>
      <c r="W17" s="47">
        <v>0</v>
      </c>
      <c r="X17" s="163" t="s">
        <v>44</v>
      </c>
      <c r="Y17" s="42">
        <f t="shared" si="1"/>
        <v>258.81999999999971</v>
      </c>
      <c r="Z17" s="32">
        <f t="shared" si="2"/>
        <v>258.81999999999971</v>
      </c>
      <c r="AA17" s="32">
        <f t="shared" si="2"/>
        <v>0</v>
      </c>
      <c r="AB17" s="32">
        <f t="shared" si="2"/>
        <v>0</v>
      </c>
      <c r="AC17" s="32">
        <f t="shared" si="2"/>
        <v>0</v>
      </c>
      <c r="AD17" s="162" t="str">
        <f t="shared" si="18"/>
        <v>x</v>
      </c>
      <c r="AE17" s="36">
        <f t="shared" si="3"/>
        <v>56549</v>
      </c>
      <c r="AF17" s="47">
        <v>56549</v>
      </c>
      <c r="AG17" s="47">
        <v>0</v>
      </c>
      <c r="AH17" s="47">
        <v>0</v>
      </c>
      <c r="AI17" s="47">
        <v>0</v>
      </c>
      <c r="AJ17" s="47">
        <v>0</v>
      </c>
      <c r="AK17" s="42">
        <f t="shared" si="20"/>
        <v>61549</v>
      </c>
      <c r="AL17" s="32">
        <f>AF17+5000</f>
        <v>61549</v>
      </c>
      <c r="AM17" s="32">
        <f>AG17</f>
        <v>0</v>
      </c>
      <c r="AN17" s="32">
        <f t="shared" si="46"/>
        <v>0</v>
      </c>
      <c r="AO17" s="208">
        <v>0</v>
      </c>
      <c r="AP17" s="33">
        <f t="shared" si="23"/>
        <v>0</v>
      </c>
      <c r="AQ17" s="36">
        <f t="shared" si="5"/>
        <v>0</v>
      </c>
      <c r="AR17" s="47">
        <v>0</v>
      </c>
      <c r="AS17" s="47">
        <v>0</v>
      </c>
      <c r="AT17" s="47">
        <v>0</v>
      </c>
      <c r="AU17" s="42">
        <f t="shared" si="6"/>
        <v>0</v>
      </c>
      <c r="AV17" s="32">
        <f t="shared" si="7"/>
        <v>0</v>
      </c>
      <c r="AW17" s="32">
        <f t="shared" si="7"/>
        <v>0</v>
      </c>
      <c r="AX17" s="32">
        <v>0</v>
      </c>
      <c r="AY17" s="33">
        <f t="shared" si="22"/>
        <v>0</v>
      </c>
      <c r="AZ17" s="36">
        <f t="shared" si="8"/>
        <v>0</v>
      </c>
      <c r="BA17" s="47">
        <v>0</v>
      </c>
      <c r="BB17" s="47">
        <v>0</v>
      </c>
      <c r="BC17" s="47">
        <v>0</v>
      </c>
      <c r="BD17" s="47">
        <v>0</v>
      </c>
      <c r="BE17" s="161">
        <f t="shared" si="9"/>
        <v>0</v>
      </c>
      <c r="BF17" s="32">
        <f t="shared" si="10"/>
        <v>0</v>
      </c>
      <c r="BG17" s="32">
        <f t="shared" si="10"/>
        <v>0</v>
      </c>
      <c r="BH17" s="32">
        <f t="shared" si="10"/>
        <v>0</v>
      </c>
      <c r="BI17" s="33">
        <f t="shared" si="10"/>
        <v>0</v>
      </c>
      <c r="BJ17" s="36">
        <f t="shared" si="11"/>
        <v>0</v>
      </c>
      <c r="BK17" s="47">
        <v>0</v>
      </c>
      <c r="BL17" s="47">
        <v>0</v>
      </c>
      <c r="BM17" s="47">
        <v>0</v>
      </c>
      <c r="BN17" s="37">
        <f t="shared" si="12"/>
        <v>0</v>
      </c>
      <c r="BO17" s="32">
        <f t="shared" si="13"/>
        <v>0</v>
      </c>
      <c r="BP17" s="32">
        <f t="shared" si="13"/>
        <v>0</v>
      </c>
      <c r="BQ17" s="33">
        <f t="shared" si="13"/>
        <v>0</v>
      </c>
      <c r="BR17" s="38">
        <f t="shared" si="14"/>
        <v>0</v>
      </c>
      <c r="BS17" s="33">
        <f t="shared" si="15"/>
        <v>0</v>
      </c>
      <c r="BT17" s="39">
        <f t="shared" si="44"/>
        <v>63549.987000000001</v>
      </c>
      <c r="BU17" s="40">
        <f t="shared" si="45"/>
        <v>63549.987000000001</v>
      </c>
      <c r="BV17" s="20">
        <f t="shared" si="17"/>
        <v>0</v>
      </c>
      <c r="BW17" s="21" t="s">
        <v>99</v>
      </c>
    </row>
    <row r="18" spans="1:76" s="21" customFormat="1" ht="23.25" customHeight="1" x14ac:dyDescent="0.2">
      <c r="A18" s="22">
        <v>1</v>
      </c>
      <c r="B18" s="24" t="s">
        <v>77</v>
      </c>
      <c r="C18" s="24" t="s">
        <v>48</v>
      </c>
      <c r="D18" s="41" t="s">
        <v>96</v>
      </c>
      <c r="E18" s="96">
        <v>7</v>
      </c>
      <c r="F18" s="186" t="s">
        <v>69</v>
      </c>
      <c r="G18" s="108">
        <v>4223105000</v>
      </c>
      <c r="H18" s="83" t="s">
        <v>92</v>
      </c>
      <c r="I18" s="26">
        <v>945</v>
      </c>
      <c r="J18" s="166"/>
      <c r="K18" s="27">
        <f t="shared" si="0"/>
        <v>31000</v>
      </c>
      <c r="L18" s="82">
        <v>31000</v>
      </c>
      <c r="M18" s="82">
        <v>0</v>
      </c>
      <c r="N18" s="82">
        <v>0</v>
      </c>
      <c r="O18" s="28">
        <v>0</v>
      </c>
      <c r="P18" s="29">
        <v>3522</v>
      </c>
      <c r="Q18" s="29">
        <v>6351</v>
      </c>
      <c r="R18" s="163">
        <v>31000000</v>
      </c>
      <c r="S18" s="27">
        <f t="shared" si="16"/>
        <v>-21000</v>
      </c>
      <c r="T18" s="30">
        <v>-21000</v>
      </c>
      <c r="U18" s="30">
        <v>0</v>
      </c>
      <c r="V18" s="47">
        <v>0</v>
      </c>
      <c r="W18" s="47">
        <v>0</v>
      </c>
      <c r="X18" s="164">
        <v>-21000000</v>
      </c>
      <c r="Y18" s="42">
        <f t="shared" si="1"/>
        <v>10000</v>
      </c>
      <c r="Z18" s="32">
        <f t="shared" si="2"/>
        <v>10000</v>
      </c>
      <c r="AA18" s="32">
        <f>M18+U18</f>
        <v>0</v>
      </c>
      <c r="AB18" s="32">
        <f t="shared" si="2"/>
        <v>0</v>
      </c>
      <c r="AC18" s="32">
        <f t="shared" si="2"/>
        <v>0</v>
      </c>
      <c r="AD18" s="33">
        <f t="shared" si="18"/>
        <v>-21000000</v>
      </c>
      <c r="AE18" s="36">
        <f t="shared" si="3"/>
        <v>15000</v>
      </c>
      <c r="AF18" s="47">
        <v>15000</v>
      </c>
      <c r="AG18" s="47">
        <v>0</v>
      </c>
      <c r="AH18" s="47">
        <v>0</v>
      </c>
      <c r="AI18" s="47">
        <v>0</v>
      </c>
      <c r="AJ18" s="47">
        <v>0</v>
      </c>
      <c r="AK18" s="42">
        <f t="shared" si="20"/>
        <v>51000</v>
      </c>
      <c r="AL18" s="32">
        <f>AF18+21000+15000</f>
        <v>51000</v>
      </c>
      <c r="AM18" s="32">
        <f>AG18</f>
        <v>0</v>
      </c>
      <c r="AN18" s="32">
        <f t="shared" si="46"/>
        <v>0</v>
      </c>
      <c r="AO18" s="208">
        <v>0</v>
      </c>
      <c r="AP18" s="33">
        <f t="shared" si="23"/>
        <v>0</v>
      </c>
      <c r="AQ18" s="36">
        <f t="shared" si="5"/>
        <v>15000</v>
      </c>
      <c r="AR18" s="47">
        <v>15000</v>
      </c>
      <c r="AS18" s="47">
        <v>0</v>
      </c>
      <c r="AT18" s="47">
        <v>0</v>
      </c>
      <c r="AU18" s="42">
        <f t="shared" si="6"/>
        <v>0</v>
      </c>
      <c r="AV18" s="32">
        <f>AR18-15000</f>
        <v>0</v>
      </c>
      <c r="AW18" s="32">
        <f t="shared" si="7"/>
        <v>0</v>
      </c>
      <c r="AX18" s="32">
        <v>0</v>
      </c>
      <c r="AY18" s="33">
        <f t="shared" si="22"/>
        <v>0</v>
      </c>
      <c r="AZ18" s="36">
        <f t="shared" si="8"/>
        <v>0</v>
      </c>
      <c r="BA18" s="47">
        <v>0</v>
      </c>
      <c r="BB18" s="47">
        <v>0</v>
      </c>
      <c r="BC18" s="47">
        <v>0</v>
      </c>
      <c r="BD18" s="47">
        <v>0</v>
      </c>
      <c r="BE18" s="161">
        <f t="shared" si="9"/>
        <v>0</v>
      </c>
      <c r="BF18" s="32">
        <f t="shared" si="10"/>
        <v>0</v>
      </c>
      <c r="BG18" s="32">
        <f t="shared" si="10"/>
        <v>0</v>
      </c>
      <c r="BH18" s="32">
        <f t="shared" si="10"/>
        <v>0</v>
      </c>
      <c r="BI18" s="33">
        <f t="shared" si="10"/>
        <v>0</v>
      </c>
      <c r="BJ18" s="36">
        <f t="shared" si="11"/>
        <v>0</v>
      </c>
      <c r="BK18" s="47">
        <v>0</v>
      </c>
      <c r="BL18" s="47">
        <v>0</v>
      </c>
      <c r="BM18" s="47">
        <v>0</v>
      </c>
      <c r="BN18" s="37">
        <f t="shared" si="12"/>
        <v>0</v>
      </c>
      <c r="BO18" s="32">
        <f t="shared" si="13"/>
        <v>0</v>
      </c>
      <c r="BP18" s="32">
        <f t="shared" si="13"/>
        <v>0</v>
      </c>
      <c r="BQ18" s="33">
        <f t="shared" si="13"/>
        <v>0</v>
      </c>
      <c r="BR18" s="38">
        <f t="shared" si="14"/>
        <v>0</v>
      </c>
      <c r="BS18" s="33">
        <f t="shared" si="15"/>
        <v>0</v>
      </c>
      <c r="BT18" s="39">
        <f t="shared" si="44"/>
        <v>61945</v>
      </c>
      <c r="BU18" s="40">
        <f t="shared" si="45"/>
        <v>61945</v>
      </c>
      <c r="BV18" s="20">
        <f t="shared" si="17"/>
        <v>0</v>
      </c>
      <c r="BX18" s="21" t="s">
        <v>99</v>
      </c>
    </row>
    <row r="19" spans="1:76" s="21" customFormat="1" ht="22.5" x14ac:dyDescent="0.2">
      <c r="A19" s="22">
        <v>1</v>
      </c>
      <c r="B19" s="24" t="s">
        <v>77</v>
      </c>
      <c r="C19" s="24" t="s">
        <v>48</v>
      </c>
      <c r="D19" s="41" t="s">
        <v>96</v>
      </c>
      <c r="E19" s="96">
        <v>7</v>
      </c>
      <c r="F19" s="186" t="s">
        <v>70</v>
      </c>
      <c r="G19" s="108">
        <v>4226105008</v>
      </c>
      <c r="H19" s="83" t="s">
        <v>88</v>
      </c>
      <c r="I19" s="26">
        <v>0</v>
      </c>
      <c r="J19" s="166" t="s">
        <v>89</v>
      </c>
      <c r="K19" s="27">
        <f t="shared" si="0"/>
        <v>8000</v>
      </c>
      <c r="L19" s="82">
        <v>8000</v>
      </c>
      <c r="M19" s="82">
        <v>0</v>
      </c>
      <c r="N19" s="82">
        <v>0</v>
      </c>
      <c r="O19" s="28">
        <v>0</v>
      </c>
      <c r="P19" s="29">
        <v>3522</v>
      </c>
      <c r="Q19" s="29">
        <v>6351</v>
      </c>
      <c r="R19" s="163">
        <v>8000000</v>
      </c>
      <c r="S19" s="27">
        <f t="shared" si="16"/>
        <v>-7000</v>
      </c>
      <c r="T19" s="30">
        <v>-7000</v>
      </c>
      <c r="U19" s="30">
        <v>0</v>
      </c>
      <c r="V19" s="47">
        <v>0</v>
      </c>
      <c r="W19" s="47">
        <v>0</v>
      </c>
      <c r="X19" s="164">
        <v>-7000000</v>
      </c>
      <c r="Y19" s="42">
        <f t="shared" si="1"/>
        <v>1000</v>
      </c>
      <c r="Z19" s="32">
        <f t="shared" si="2"/>
        <v>1000</v>
      </c>
      <c r="AA19" s="32">
        <f>M19+U19</f>
        <v>0</v>
      </c>
      <c r="AB19" s="32">
        <f t="shared" si="2"/>
        <v>0</v>
      </c>
      <c r="AC19" s="32">
        <f t="shared" si="2"/>
        <v>0</v>
      </c>
      <c r="AD19" s="33">
        <f t="shared" si="18"/>
        <v>-7000000</v>
      </c>
      <c r="AE19" s="36">
        <f t="shared" si="3"/>
        <v>0</v>
      </c>
      <c r="AF19" s="47">
        <v>0</v>
      </c>
      <c r="AG19" s="47">
        <v>0</v>
      </c>
      <c r="AH19" s="47">
        <v>0</v>
      </c>
      <c r="AI19" s="47">
        <v>0</v>
      </c>
      <c r="AJ19" s="47">
        <v>0</v>
      </c>
      <c r="AK19" s="42">
        <f t="shared" si="20"/>
        <v>7000</v>
      </c>
      <c r="AL19" s="32">
        <f>AF19+7000</f>
        <v>7000</v>
      </c>
      <c r="AM19" s="32">
        <f>AG19</f>
        <v>0</v>
      </c>
      <c r="AN19" s="32">
        <f t="shared" si="46"/>
        <v>0</v>
      </c>
      <c r="AO19" s="208">
        <v>0</v>
      </c>
      <c r="AP19" s="33">
        <f t="shared" si="23"/>
        <v>0</v>
      </c>
      <c r="AQ19" s="36">
        <f t="shared" si="5"/>
        <v>0</v>
      </c>
      <c r="AR19" s="47">
        <v>0</v>
      </c>
      <c r="AS19" s="47">
        <v>0</v>
      </c>
      <c r="AT19" s="47">
        <v>0</v>
      </c>
      <c r="AU19" s="42">
        <f t="shared" si="6"/>
        <v>0</v>
      </c>
      <c r="AV19" s="32">
        <f t="shared" ref="AV19:AV25" si="47">AR19</f>
        <v>0</v>
      </c>
      <c r="AW19" s="32">
        <f t="shared" si="7"/>
        <v>0</v>
      </c>
      <c r="AX19" s="32">
        <v>0</v>
      </c>
      <c r="AY19" s="33">
        <f t="shared" si="22"/>
        <v>0</v>
      </c>
      <c r="AZ19" s="36">
        <f t="shared" si="8"/>
        <v>0</v>
      </c>
      <c r="BA19" s="47">
        <v>0</v>
      </c>
      <c r="BB19" s="47">
        <v>0</v>
      </c>
      <c r="BC19" s="47">
        <v>0</v>
      </c>
      <c r="BD19" s="47">
        <v>0</v>
      </c>
      <c r="BE19" s="161">
        <f t="shared" si="9"/>
        <v>0</v>
      </c>
      <c r="BF19" s="32">
        <f t="shared" si="10"/>
        <v>0</v>
      </c>
      <c r="BG19" s="32">
        <f t="shared" si="10"/>
        <v>0</v>
      </c>
      <c r="BH19" s="32">
        <f t="shared" si="10"/>
        <v>0</v>
      </c>
      <c r="BI19" s="33">
        <f t="shared" si="10"/>
        <v>0</v>
      </c>
      <c r="BJ19" s="36">
        <f t="shared" si="11"/>
        <v>0</v>
      </c>
      <c r="BK19" s="47">
        <v>0</v>
      </c>
      <c r="BL19" s="47">
        <v>0</v>
      </c>
      <c r="BM19" s="47">
        <v>0</v>
      </c>
      <c r="BN19" s="37">
        <f t="shared" si="12"/>
        <v>0</v>
      </c>
      <c r="BO19" s="32">
        <f t="shared" si="13"/>
        <v>0</v>
      </c>
      <c r="BP19" s="32">
        <f t="shared" si="13"/>
        <v>0</v>
      </c>
      <c r="BQ19" s="33">
        <f t="shared" si="13"/>
        <v>0</v>
      </c>
      <c r="BR19" s="38">
        <f t="shared" si="14"/>
        <v>0</v>
      </c>
      <c r="BS19" s="33">
        <f t="shared" si="15"/>
        <v>0</v>
      </c>
      <c r="BT19" s="39">
        <f t="shared" si="44"/>
        <v>8000</v>
      </c>
      <c r="BU19" s="40">
        <f t="shared" si="45"/>
        <v>8000</v>
      </c>
      <c r="BV19" s="20">
        <f t="shared" si="17"/>
        <v>0</v>
      </c>
      <c r="BX19" s="21" t="s">
        <v>99</v>
      </c>
    </row>
    <row r="20" spans="1:76" s="21" customFormat="1" ht="45" customHeight="1" x14ac:dyDescent="0.2">
      <c r="A20" s="22">
        <v>1</v>
      </c>
      <c r="B20" s="24" t="s">
        <v>77</v>
      </c>
      <c r="C20" s="24" t="s">
        <v>48</v>
      </c>
      <c r="D20" s="41" t="s">
        <v>96</v>
      </c>
      <c r="E20" s="96">
        <v>7</v>
      </c>
      <c r="F20" s="187" t="s">
        <v>49</v>
      </c>
      <c r="G20" s="108">
        <v>4234105008</v>
      </c>
      <c r="H20" s="83" t="s">
        <v>88</v>
      </c>
      <c r="I20" s="26">
        <v>0</v>
      </c>
      <c r="J20" s="166"/>
      <c r="K20" s="27">
        <f t="shared" si="0"/>
        <v>45000</v>
      </c>
      <c r="L20" s="82">
        <v>45000</v>
      </c>
      <c r="M20" s="82">
        <v>0</v>
      </c>
      <c r="N20" s="82">
        <v>0</v>
      </c>
      <c r="O20" s="28">
        <v>0</v>
      </c>
      <c r="P20" s="29">
        <v>3522</v>
      </c>
      <c r="Q20" s="29">
        <v>6351</v>
      </c>
      <c r="R20" s="163">
        <v>45000000</v>
      </c>
      <c r="S20" s="27">
        <f t="shared" si="16"/>
        <v>-10000</v>
      </c>
      <c r="T20" s="30">
        <v>-10000</v>
      </c>
      <c r="U20" s="30">
        <v>0</v>
      </c>
      <c r="V20" s="47">
        <v>0</v>
      </c>
      <c r="W20" s="47">
        <v>0</v>
      </c>
      <c r="X20" s="164">
        <v>-10000000</v>
      </c>
      <c r="Y20" s="42">
        <f t="shared" si="1"/>
        <v>35000</v>
      </c>
      <c r="Z20" s="32">
        <f t="shared" si="2"/>
        <v>35000</v>
      </c>
      <c r="AA20" s="32">
        <f t="shared" si="2"/>
        <v>0</v>
      </c>
      <c r="AB20" s="32">
        <f t="shared" si="2"/>
        <v>0</v>
      </c>
      <c r="AC20" s="32">
        <f t="shared" si="2"/>
        <v>0</v>
      </c>
      <c r="AD20" s="33">
        <f t="shared" si="18"/>
        <v>-10000000</v>
      </c>
      <c r="AE20" s="36">
        <f t="shared" si="3"/>
        <v>15000</v>
      </c>
      <c r="AF20" s="47">
        <v>15000</v>
      </c>
      <c r="AG20" s="47">
        <v>0</v>
      </c>
      <c r="AH20" s="47">
        <v>0</v>
      </c>
      <c r="AI20" s="47">
        <v>0</v>
      </c>
      <c r="AJ20" s="47">
        <v>0</v>
      </c>
      <c r="AK20" s="42">
        <f t="shared" si="20"/>
        <v>25000</v>
      </c>
      <c r="AL20" s="32">
        <f>AF20+10000</f>
        <v>25000</v>
      </c>
      <c r="AM20" s="32">
        <f>AG20</f>
        <v>0</v>
      </c>
      <c r="AN20" s="32">
        <f t="shared" si="46"/>
        <v>0</v>
      </c>
      <c r="AO20" s="208">
        <v>0</v>
      </c>
      <c r="AP20" s="33">
        <f t="shared" si="23"/>
        <v>0</v>
      </c>
      <c r="AQ20" s="36">
        <f t="shared" si="5"/>
        <v>0</v>
      </c>
      <c r="AR20" s="47">
        <v>0</v>
      </c>
      <c r="AS20" s="47">
        <v>0</v>
      </c>
      <c r="AT20" s="47">
        <v>0</v>
      </c>
      <c r="AU20" s="42">
        <f t="shared" si="6"/>
        <v>0</v>
      </c>
      <c r="AV20" s="32">
        <f t="shared" si="47"/>
        <v>0</v>
      </c>
      <c r="AW20" s="32">
        <f t="shared" si="7"/>
        <v>0</v>
      </c>
      <c r="AX20" s="32">
        <v>0</v>
      </c>
      <c r="AY20" s="33">
        <f t="shared" si="22"/>
        <v>0</v>
      </c>
      <c r="AZ20" s="36">
        <f t="shared" si="8"/>
        <v>0</v>
      </c>
      <c r="BA20" s="47">
        <v>0</v>
      </c>
      <c r="BB20" s="47">
        <v>0</v>
      </c>
      <c r="BC20" s="47">
        <v>0</v>
      </c>
      <c r="BD20" s="47">
        <v>0</v>
      </c>
      <c r="BE20" s="161">
        <f t="shared" si="9"/>
        <v>0</v>
      </c>
      <c r="BF20" s="32">
        <f t="shared" si="10"/>
        <v>0</v>
      </c>
      <c r="BG20" s="32">
        <f t="shared" si="10"/>
        <v>0</v>
      </c>
      <c r="BH20" s="32">
        <f t="shared" si="10"/>
        <v>0</v>
      </c>
      <c r="BI20" s="33">
        <f t="shared" si="10"/>
        <v>0</v>
      </c>
      <c r="BJ20" s="36">
        <f t="shared" si="11"/>
        <v>0</v>
      </c>
      <c r="BK20" s="47">
        <v>0</v>
      </c>
      <c r="BL20" s="47">
        <v>0</v>
      </c>
      <c r="BM20" s="47">
        <v>0</v>
      </c>
      <c r="BN20" s="37">
        <f t="shared" si="12"/>
        <v>0</v>
      </c>
      <c r="BO20" s="32">
        <f t="shared" si="13"/>
        <v>0</v>
      </c>
      <c r="BP20" s="32">
        <f t="shared" si="13"/>
        <v>0</v>
      </c>
      <c r="BQ20" s="33">
        <f t="shared" si="13"/>
        <v>0</v>
      </c>
      <c r="BR20" s="38">
        <f t="shared" si="14"/>
        <v>0</v>
      </c>
      <c r="BS20" s="33">
        <f t="shared" si="15"/>
        <v>0</v>
      </c>
      <c r="BT20" s="39">
        <f t="shared" si="44"/>
        <v>60000</v>
      </c>
      <c r="BU20" s="40">
        <f t="shared" si="45"/>
        <v>60000</v>
      </c>
      <c r="BV20" s="20">
        <f t="shared" si="17"/>
        <v>0</v>
      </c>
      <c r="BX20" s="21" t="s">
        <v>99</v>
      </c>
    </row>
    <row r="21" spans="1:76" s="21" customFormat="1" ht="42.75" customHeight="1" x14ac:dyDescent="0.2">
      <c r="A21" s="22">
        <v>1</v>
      </c>
      <c r="B21" s="24" t="s">
        <v>77</v>
      </c>
      <c r="C21" s="24" t="s">
        <v>48</v>
      </c>
      <c r="D21" s="41" t="s">
        <v>96</v>
      </c>
      <c r="E21" s="96">
        <v>7</v>
      </c>
      <c r="F21" s="188" t="s">
        <v>72</v>
      </c>
      <c r="G21" s="108">
        <v>4235105009</v>
      </c>
      <c r="H21" s="83" t="s">
        <v>91</v>
      </c>
      <c r="I21" s="26">
        <v>387</v>
      </c>
      <c r="J21" s="166"/>
      <c r="K21" s="27">
        <f t="shared" si="0"/>
        <v>50304</v>
      </c>
      <c r="L21" s="82">
        <v>50304</v>
      </c>
      <c r="M21" s="82">
        <v>0</v>
      </c>
      <c r="N21" s="82">
        <v>0</v>
      </c>
      <c r="O21" s="28">
        <v>0</v>
      </c>
      <c r="P21" s="29">
        <v>3522</v>
      </c>
      <c r="Q21" s="29">
        <v>6351</v>
      </c>
      <c r="R21" s="163">
        <v>50304000</v>
      </c>
      <c r="S21" s="27">
        <f t="shared" si="16"/>
        <v>-20000</v>
      </c>
      <c r="T21" s="30">
        <v>-20000</v>
      </c>
      <c r="U21" s="30">
        <v>0</v>
      </c>
      <c r="V21" s="47">
        <v>0</v>
      </c>
      <c r="W21" s="47">
        <v>0</v>
      </c>
      <c r="X21" s="164">
        <v>-20000000</v>
      </c>
      <c r="Y21" s="42">
        <f>Z21+AA21+AB21</f>
        <v>30304</v>
      </c>
      <c r="Z21" s="32">
        <f t="shared" si="2"/>
        <v>30304</v>
      </c>
      <c r="AA21" s="32">
        <f t="shared" si="2"/>
        <v>0</v>
      </c>
      <c r="AB21" s="32">
        <f t="shared" si="2"/>
        <v>0</v>
      </c>
      <c r="AC21" s="32">
        <f t="shared" si="2"/>
        <v>0</v>
      </c>
      <c r="AD21" s="33">
        <f t="shared" si="18"/>
        <v>-20000000</v>
      </c>
      <c r="AE21" s="36">
        <f t="shared" si="3"/>
        <v>0</v>
      </c>
      <c r="AF21" s="47">
        <v>0</v>
      </c>
      <c r="AG21" s="47">
        <v>0</v>
      </c>
      <c r="AH21" s="47">
        <v>0</v>
      </c>
      <c r="AI21" s="47">
        <v>0</v>
      </c>
      <c r="AJ21" s="47">
        <v>0</v>
      </c>
      <c r="AK21" s="42">
        <f t="shared" si="20"/>
        <v>20000</v>
      </c>
      <c r="AL21" s="32">
        <f>AF21+20000</f>
        <v>20000</v>
      </c>
      <c r="AM21" s="32">
        <f>AG21</f>
        <v>0</v>
      </c>
      <c r="AN21" s="32">
        <f t="shared" si="46"/>
        <v>0</v>
      </c>
      <c r="AO21" s="208">
        <v>0</v>
      </c>
      <c r="AP21" s="33">
        <f t="shared" si="23"/>
        <v>0</v>
      </c>
      <c r="AQ21" s="36">
        <f t="shared" si="5"/>
        <v>0</v>
      </c>
      <c r="AR21" s="47">
        <v>0</v>
      </c>
      <c r="AS21" s="47">
        <v>0</v>
      </c>
      <c r="AT21" s="47">
        <v>0</v>
      </c>
      <c r="AU21" s="42">
        <f t="shared" si="6"/>
        <v>0</v>
      </c>
      <c r="AV21" s="32">
        <f t="shared" si="47"/>
        <v>0</v>
      </c>
      <c r="AW21" s="32">
        <f t="shared" si="7"/>
        <v>0</v>
      </c>
      <c r="AX21" s="32">
        <v>0</v>
      </c>
      <c r="AY21" s="33">
        <f t="shared" si="22"/>
        <v>0</v>
      </c>
      <c r="AZ21" s="36">
        <f t="shared" si="8"/>
        <v>0</v>
      </c>
      <c r="BA21" s="47">
        <v>0</v>
      </c>
      <c r="BB21" s="47">
        <v>0</v>
      </c>
      <c r="BC21" s="47">
        <v>0</v>
      </c>
      <c r="BD21" s="47">
        <v>0</v>
      </c>
      <c r="BE21" s="161">
        <f t="shared" si="9"/>
        <v>0</v>
      </c>
      <c r="BF21" s="32">
        <f t="shared" si="10"/>
        <v>0</v>
      </c>
      <c r="BG21" s="32">
        <f t="shared" si="10"/>
        <v>0</v>
      </c>
      <c r="BH21" s="32">
        <f t="shared" si="10"/>
        <v>0</v>
      </c>
      <c r="BI21" s="33">
        <f t="shared" si="10"/>
        <v>0</v>
      </c>
      <c r="BJ21" s="36">
        <f t="shared" si="11"/>
        <v>0</v>
      </c>
      <c r="BK21" s="47">
        <v>0</v>
      </c>
      <c r="BL21" s="47">
        <v>0</v>
      </c>
      <c r="BM21" s="47">
        <v>0</v>
      </c>
      <c r="BN21" s="37">
        <f t="shared" si="12"/>
        <v>0</v>
      </c>
      <c r="BO21" s="32">
        <f t="shared" si="13"/>
        <v>0</v>
      </c>
      <c r="BP21" s="32">
        <f t="shared" si="13"/>
        <v>0</v>
      </c>
      <c r="BQ21" s="33">
        <f t="shared" si="13"/>
        <v>0</v>
      </c>
      <c r="BR21" s="38">
        <f t="shared" si="14"/>
        <v>0</v>
      </c>
      <c r="BS21" s="33">
        <f t="shared" si="15"/>
        <v>0</v>
      </c>
      <c r="BT21" s="39">
        <f t="shared" si="44"/>
        <v>50691</v>
      </c>
      <c r="BU21" s="40">
        <f t="shared" si="45"/>
        <v>50691</v>
      </c>
      <c r="BV21" s="20">
        <f t="shared" si="17"/>
        <v>0</v>
      </c>
      <c r="BX21" s="21" t="s">
        <v>99</v>
      </c>
    </row>
    <row r="22" spans="1:76" s="21" customFormat="1" ht="39" customHeight="1" x14ac:dyDescent="0.2">
      <c r="A22" s="115">
        <v>1</v>
      </c>
      <c r="B22" s="117" t="s">
        <v>77</v>
      </c>
      <c r="C22" s="117" t="s">
        <v>48</v>
      </c>
      <c r="D22" s="99" t="s">
        <v>83</v>
      </c>
      <c r="E22" s="100">
        <v>7</v>
      </c>
      <c r="F22" s="189" t="s">
        <v>73</v>
      </c>
      <c r="G22" s="110">
        <v>4372405014</v>
      </c>
      <c r="H22" s="84" t="s">
        <v>92</v>
      </c>
      <c r="I22" s="56">
        <v>1033.3</v>
      </c>
      <c r="J22" s="167"/>
      <c r="K22" s="27">
        <f t="shared" si="0"/>
        <v>30200</v>
      </c>
      <c r="L22" s="82">
        <v>0</v>
      </c>
      <c r="M22" s="82">
        <v>30200</v>
      </c>
      <c r="N22" s="82">
        <v>0</v>
      </c>
      <c r="O22" s="28">
        <v>0</v>
      </c>
      <c r="P22" s="93">
        <v>3522</v>
      </c>
      <c r="Q22" s="92">
        <v>6351</v>
      </c>
      <c r="R22" s="163">
        <v>30200000</v>
      </c>
      <c r="S22" s="27">
        <f t="shared" si="16"/>
        <v>-26200</v>
      </c>
      <c r="T22" s="30">
        <v>0</v>
      </c>
      <c r="U22" s="30">
        <v>-26200</v>
      </c>
      <c r="V22" s="47">
        <v>0</v>
      </c>
      <c r="W22" s="47">
        <v>0</v>
      </c>
      <c r="X22" s="164">
        <v>-26200000</v>
      </c>
      <c r="Y22" s="42">
        <f>Z22+AA22+AB22</f>
        <v>4000</v>
      </c>
      <c r="Z22" s="32">
        <f t="shared" si="2"/>
        <v>0</v>
      </c>
      <c r="AA22" s="32">
        <f t="shared" si="2"/>
        <v>4000</v>
      </c>
      <c r="AB22" s="32">
        <f t="shared" si="2"/>
        <v>0</v>
      </c>
      <c r="AC22" s="32">
        <f t="shared" si="2"/>
        <v>0</v>
      </c>
      <c r="AD22" s="33">
        <f t="shared" si="18"/>
        <v>-26200000</v>
      </c>
      <c r="AE22" s="36">
        <f t="shared" si="3"/>
        <v>10000</v>
      </c>
      <c r="AF22" s="47">
        <v>10000</v>
      </c>
      <c r="AG22" s="47">
        <v>0</v>
      </c>
      <c r="AH22" s="47">
        <v>0</v>
      </c>
      <c r="AI22" s="47">
        <v>0</v>
      </c>
      <c r="AJ22" s="47">
        <v>0</v>
      </c>
      <c r="AK22" s="42">
        <f t="shared" si="20"/>
        <v>36200</v>
      </c>
      <c r="AL22" s="32">
        <f>AF22</f>
        <v>10000</v>
      </c>
      <c r="AM22" s="32">
        <f>AG22+26200</f>
        <v>26200</v>
      </c>
      <c r="AN22" s="32">
        <f t="shared" si="46"/>
        <v>0</v>
      </c>
      <c r="AO22" s="208">
        <v>0</v>
      </c>
      <c r="AP22" s="33">
        <f t="shared" si="23"/>
        <v>0</v>
      </c>
      <c r="AQ22" s="36">
        <f t="shared" si="5"/>
        <v>0</v>
      </c>
      <c r="AR22" s="47">
        <v>0</v>
      </c>
      <c r="AS22" s="47">
        <v>0</v>
      </c>
      <c r="AT22" s="47">
        <v>0</v>
      </c>
      <c r="AU22" s="42">
        <f t="shared" si="6"/>
        <v>0</v>
      </c>
      <c r="AV22" s="32">
        <f t="shared" si="47"/>
        <v>0</v>
      </c>
      <c r="AW22" s="32">
        <f t="shared" si="7"/>
        <v>0</v>
      </c>
      <c r="AX22" s="32">
        <v>0</v>
      </c>
      <c r="AY22" s="33">
        <f t="shared" si="22"/>
        <v>0</v>
      </c>
      <c r="AZ22" s="36">
        <f t="shared" si="8"/>
        <v>0</v>
      </c>
      <c r="BA22" s="47">
        <v>0</v>
      </c>
      <c r="BB22" s="47">
        <v>0</v>
      </c>
      <c r="BC22" s="47">
        <v>0</v>
      </c>
      <c r="BD22" s="47">
        <v>0</v>
      </c>
      <c r="BE22" s="161">
        <f t="shared" si="9"/>
        <v>0</v>
      </c>
      <c r="BF22" s="32">
        <f t="shared" si="10"/>
        <v>0</v>
      </c>
      <c r="BG22" s="32">
        <f t="shared" si="10"/>
        <v>0</v>
      </c>
      <c r="BH22" s="32">
        <f t="shared" si="10"/>
        <v>0</v>
      </c>
      <c r="BI22" s="33">
        <f t="shared" si="10"/>
        <v>0</v>
      </c>
      <c r="BJ22" s="36">
        <f t="shared" si="11"/>
        <v>0</v>
      </c>
      <c r="BK22" s="47">
        <v>0</v>
      </c>
      <c r="BL22" s="47">
        <v>0</v>
      </c>
      <c r="BM22" s="47">
        <v>0</v>
      </c>
      <c r="BN22" s="37">
        <f t="shared" si="12"/>
        <v>0</v>
      </c>
      <c r="BO22" s="32">
        <f t="shared" si="13"/>
        <v>0</v>
      </c>
      <c r="BP22" s="32">
        <f t="shared" si="13"/>
        <v>0</v>
      </c>
      <c r="BQ22" s="33">
        <f t="shared" si="13"/>
        <v>0</v>
      </c>
      <c r="BR22" s="38">
        <f>BM22+BD22+AT22+AJ22+N22+300</f>
        <v>300</v>
      </c>
      <c r="BS22" s="33">
        <f>BQ22+BI22+AY22+AB22+AP22+300</f>
        <v>300</v>
      </c>
      <c r="BT22" s="39">
        <f t="shared" si="44"/>
        <v>41533.300000000003</v>
      </c>
      <c r="BU22" s="40">
        <f t="shared" si="45"/>
        <v>41533.300000000003</v>
      </c>
      <c r="BV22" s="20">
        <f t="shared" si="17"/>
        <v>0</v>
      </c>
      <c r="BX22" s="21" t="s">
        <v>99</v>
      </c>
    </row>
    <row r="23" spans="1:76" s="21" customFormat="1" ht="39" customHeight="1" x14ac:dyDescent="0.2">
      <c r="A23" s="115">
        <v>1</v>
      </c>
      <c r="B23" s="117" t="s">
        <v>77</v>
      </c>
      <c r="C23" s="117" t="s">
        <v>48</v>
      </c>
      <c r="D23" s="99" t="s">
        <v>83</v>
      </c>
      <c r="E23" s="100">
        <v>7</v>
      </c>
      <c r="F23" s="189" t="s">
        <v>53</v>
      </c>
      <c r="G23" s="110">
        <v>4408405003</v>
      </c>
      <c r="H23" s="84" t="s">
        <v>91</v>
      </c>
      <c r="I23" s="56"/>
      <c r="J23" s="167"/>
      <c r="K23" s="27">
        <f t="shared" si="0"/>
        <v>15500</v>
      </c>
      <c r="L23" s="82">
        <v>0</v>
      </c>
      <c r="M23" s="82">
        <v>15500</v>
      </c>
      <c r="N23" s="82">
        <v>0</v>
      </c>
      <c r="O23" s="28">
        <v>0</v>
      </c>
      <c r="P23" s="93">
        <v>3522</v>
      </c>
      <c r="Q23" s="92">
        <v>6351</v>
      </c>
      <c r="R23" s="163">
        <v>15500000</v>
      </c>
      <c r="S23" s="27">
        <f t="shared" si="16"/>
        <v>-10500</v>
      </c>
      <c r="T23" s="30">
        <v>0</v>
      </c>
      <c r="U23" s="30">
        <v>-10500</v>
      </c>
      <c r="V23" s="47">
        <v>0</v>
      </c>
      <c r="W23" s="47">
        <v>0</v>
      </c>
      <c r="X23" s="164">
        <v>-10500000</v>
      </c>
      <c r="Y23" s="42">
        <f>Z23+AA23+AB23</f>
        <v>5000</v>
      </c>
      <c r="Z23" s="32">
        <f t="shared" si="2"/>
        <v>0</v>
      </c>
      <c r="AA23" s="32">
        <f t="shared" si="2"/>
        <v>5000</v>
      </c>
      <c r="AB23" s="32">
        <f t="shared" si="2"/>
        <v>0</v>
      </c>
      <c r="AC23" s="32">
        <f t="shared" si="2"/>
        <v>0</v>
      </c>
      <c r="AD23" s="33">
        <f t="shared" si="18"/>
        <v>-10500000</v>
      </c>
      <c r="AE23" s="36">
        <f t="shared" si="3"/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2">
        <f t="shared" si="20"/>
        <v>10500</v>
      </c>
      <c r="AL23" s="32">
        <f>AF23</f>
        <v>0</v>
      </c>
      <c r="AM23" s="32">
        <f>AG23+10500</f>
        <v>10500</v>
      </c>
      <c r="AN23" s="32">
        <f t="shared" si="46"/>
        <v>0</v>
      </c>
      <c r="AO23" s="208">
        <v>0</v>
      </c>
      <c r="AP23" s="33">
        <f t="shared" si="23"/>
        <v>0</v>
      </c>
      <c r="AQ23" s="36">
        <f t="shared" si="5"/>
        <v>0</v>
      </c>
      <c r="AR23" s="47">
        <v>0</v>
      </c>
      <c r="AS23" s="47">
        <v>0</v>
      </c>
      <c r="AT23" s="47">
        <v>0</v>
      </c>
      <c r="AU23" s="42">
        <f t="shared" si="6"/>
        <v>0</v>
      </c>
      <c r="AV23" s="32">
        <f t="shared" si="47"/>
        <v>0</v>
      </c>
      <c r="AW23" s="32">
        <f t="shared" si="7"/>
        <v>0</v>
      </c>
      <c r="AX23" s="32">
        <v>0</v>
      </c>
      <c r="AY23" s="33">
        <f t="shared" si="22"/>
        <v>0</v>
      </c>
      <c r="AZ23" s="36">
        <f t="shared" si="8"/>
        <v>0</v>
      </c>
      <c r="BA23" s="47">
        <v>0</v>
      </c>
      <c r="BB23" s="47">
        <v>0</v>
      </c>
      <c r="BC23" s="47">
        <v>0</v>
      </c>
      <c r="BD23" s="47">
        <v>0</v>
      </c>
      <c r="BE23" s="161">
        <f t="shared" si="9"/>
        <v>0</v>
      </c>
      <c r="BF23" s="32">
        <f t="shared" si="10"/>
        <v>0</v>
      </c>
      <c r="BG23" s="32">
        <f t="shared" si="10"/>
        <v>0</v>
      </c>
      <c r="BH23" s="32">
        <f t="shared" si="10"/>
        <v>0</v>
      </c>
      <c r="BI23" s="33">
        <f t="shared" si="10"/>
        <v>0</v>
      </c>
      <c r="BJ23" s="36">
        <f t="shared" si="11"/>
        <v>0</v>
      </c>
      <c r="BK23" s="47">
        <v>0</v>
      </c>
      <c r="BL23" s="47">
        <v>0</v>
      </c>
      <c r="BM23" s="47">
        <v>0</v>
      </c>
      <c r="BN23" s="37">
        <f t="shared" si="12"/>
        <v>0</v>
      </c>
      <c r="BO23" s="32">
        <f t="shared" si="13"/>
        <v>0</v>
      </c>
      <c r="BP23" s="32">
        <f t="shared" si="13"/>
        <v>0</v>
      </c>
      <c r="BQ23" s="33">
        <f t="shared" si="13"/>
        <v>0</v>
      </c>
      <c r="BR23" s="38">
        <f t="shared" ref="BR23:BR30" si="48">BM23+BD23+AT23+AJ23+N23</f>
        <v>0</v>
      </c>
      <c r="BS23" s="33">
        <f t="shared" ref="BS23:BS29" si="49">BQ23+BI23+AY23+AB23+AP23</f>
        <v>0</v>
      </c>
      <c r="BT23" s="39">
        <f t="shared" si="44"/>
        <v>15500</v>
      </c>
      <c r="BU23" s="40">
        <f t="shared" si="45"/>
        <v>15500</v>
      </c>
      <c r="BV23" s="20">
        <f t="shared" si="17"/>
        <v>0</v>
      </c>
      <c r="BX23" s="21" t="s">
        <v>99</v>
      </c>
    </row>
    <row r="24" spans="1:76" s="21" customFormat="1" ht="27.75" customHeight="1" thickBot="1" x14ac:dyDescent="0.25">
      <c r="A24" s="201">
        <v>1</v>
      </c>
      <c r="B24" s="137" t="s">
        <v>114</v>
      </c>
      <c r="C24" s="137" t="s">
        <v>43</v>
      </c>
      <c r="D24" s="138"/>
      <c r="E24" s="139">
        <v>14</v>
      </c>
      <c r="F24" s="190" t="s">
        <v>115</v>
      </c>
      <c r="G24" s="140">
        <v>5758</v>
      </c>
      <c r="H24" s="141"/>
      <c r="I24" s="142">
        <v>3655.74</v>
      </c>
      <c r="J24" s="168"/>
      <c r="K24" s="146">
        <f>L24+M24+O24+N24</f>
        <v>30525.09</v>
      </c>
      <c r="L24" s="143">
        <v>1139.0899999999999</v>
      </c>
      <c r="M24" s="143">
        <v>29386</v>
      </c>
      <c r="N24" s="143">
        <v>0</v>
      </c>
      <c r="O24" s="202">
        <v>0</v>
      </c>
      <c r="P24" s="144">
        <v>4350</v>
      </c>
      <c r="Q24" s="145">
        <v>6121</v>
      </c>
      <c r="R24" s="203" t="s">
        <v>44</v>
      </c>
      <c r="S24" s="146">
        <f t="shared" si="16"/>
        <v>-18000</v>
      </c>
      <c r="T24" s="156">
        <v>0</v>
      </c>
      <c r="U24" s="156">
        <v>-18000</v>
      </c>
      <c r="V24" s="156">
        <v>0</v>
      </c>
      <c r="W24" s="47">
        <v>0</v>
      </c>
      <c r="X24" s="204" t="s">
        <v>44</v>
      </c>
      <c r="Y24" s="147">
        <f>Z24+AA24+AB24+AC24</f>
        <v>12525.09</v>
      </c>
      <c r="Z24" s="148">
        <f t="shared" si="2"/>
        <v>1139.0899999999999</v>
      </c>
      <c r="AA24" s="148">
        <f t="shared" si="2"/>
        <v>11386</v>
      </c>
      <c r="AB24" s="148">
        <v>0</v>
      </c>
      <c r="AC24" s="32">
        <f t="shared" si="2"/>
        <v>0</v>
      </c>
      <c r="AD24" s="211" t="s">
        <v>44</v>
      </c>
      <c r="AE24" s="150">
        <f>AF24+AG24+AH24+AI24</f>
        <v>172800</v>
      </c>
      <c r="AF24" s="156">
        <v>0</v>
      </c>
      <c r="AG24" s="156">
        <v>88106</v>
      </c>
      <c r="AH24" s="156">
        <v>46900</v>
      </c>
      <c r="AI24" s="156">
        <v>37794</v>
      </c>
      <c r="AJ24" s="156">
        <v>0</v>
      </c>
      <c r="AK24" s="147">
        <f>AL24+AM24+AO24+AN24</f>
        <v>184000</v>
      </c>
      <c r="AL24" s="148">
        <v>0</v>
      </c>
      <c r="AM24" s="148">
        <v>106106</v>
      </c>
      <c r="AN24" s="148">
        <v>40100</v>
      </c>
      <c r="AO24" s="214">
        <v>37794</v>
      </c>
      <c r="AP24" s="149">
        <f t="shared" si="23"/>
        <v>0</v>
      </c>
      <c r="AQ24" s="150">
        <f t="shared" si="5"/>
        <v>4000</v>
      </c>
      <c r="AR24" s="156">
        <v>4000</v>
      </c>
      <c r="AS24" s="156">
        <v>0</v>
      </c>
      <c r="AT24" s="156">
        <v>0</v>
      </c>
      <c r="AU24" s="147">
        <f>AV24+AW24+AX24</f>
        <v>10800</v>
      </c>
      <c r="AV24" s="148">
        <f t="shared" si="47"/>
        <v>4000</v>
      </c>
      <c r="AW24" s="148">
        <f t="shared" si="7"/>
        <v>0</v>
      </c>
      <c r="AX24" s="148">
        <v>6800</v>
      </c>
      <c r="AY24" s="149">
        <f t="shared" si="22"/>
        <v>0</v>
      </c>
      <c r="AZ24" s="36">
        <f t="shared" ref="AZ24" si="50">BA24+BB24</f>
        <v>0</v>
      </c>
      <c r="BA24" s="47">
        <v>0</v>
      </c>
      <c r="BB24" s="47">
        <v>0</v>
      </c>
      <c r="BC24" s="47">
        <v>0</v>
      </c>
      <c r="BD24" s="47">
        <v>0</v>
      </c>
      <c r="BE24" s="161">
        <f t="shared" ref="BE24" si="51">BF24+BG24</f>
        <v>0</v>
      </c>
      <c r="BF24" s="32">
        <f t="shared" ref="BF24" si="52">BA24</f>
        <v>0</v>
      </c>
      <c r="BG24" s="32">
        <f t="shared" ref="BG24" si="53">BB24</f>
        <v>0</v>
      </c>
      <c r="BH24" s="32">
        <f t="shared" ref="BH24" si="54">BC24</f>
        <v>0</v>
      </c>
      <c r="BI24" s="33">
        <f t="shared" ref="BI24" si="55">BD24</f>
        <v>0</v>
      </c>
      <c r="BJ24" s="36">
        <f t="shared" ref="BJ24" si="56">BK24</f>
        <v>0</v>
      </c>
      <c r="BK24" s="47">
        <v>0</v>
      </c>
      <c r="BL24" s="47">
        <v>0</v>
      </c>
      <c r="BM24" s="47">
        <v>0</v>
      </c>
      <c r="BN24" s="37">
        <f t="shared" ref="BN24" si="57">BO24</f>
        <v>0</v>
      </c>
      <c r="BO24" s="32">
        <f t="shared" ref="BO24" si="58">BK24</f>
        <v>0</v>
      </c>
      <c r="BP24" s="32">
        <f t="shared" ref="BP24" si="59">BL24</f>
        <v>0</v>
      </c>
      <c r="BQ24" s="33">
        <f t="shared" ref="BQ24" si="60">BM24</f>
        <v>0</v>
      </c>
      <c r="BR24" s="152">
        <v>37794</v>
      </c>
      <c r="BS24" s="149">
        <v>37794</v>
      </c>
      <c r="BT24" s="153">
        <f>I24+K24+AE24+AQ24+AZ24+BJ24</f>
        <v>210980.83000000002</v>
      </c>
      <c r="BU24" s="154">
        <f>I24+Y24+AK24+AU24+BE24+BN24</f>
        <v>210980.83</v>
      </c>
      <c r="BV24" s="20"/>
    </row>
    <row r="25" spans="1:76" s="21" customFormat="1" ht="23.25" thickTop="1" x14ac:dyDescent="0.2">
      <c r="A25" s="116">
        <v>2</v>
      </c>
      <c r="B25" s="118" t="s">
        <v>76</v>
      </c>
      <c r="C25" s="118" t="s">
        <v>43</v>
      </c>
      <c r="D25" s="25" t="s">
        <v>83</v>
      </c>
      <c r="E25" s="103">
        <v>7</v>
      </c>
      <c r="F25" s="207" t="s">
        <v>55</v>
      </c>
      <c r="G25" s="136">
        <v>56814</v>
      </c>
      <c r="H25" s="104" t="s">
        <v>86</v>
      </c>
      <c r="I25" s="43">
        <v>2340.6999999999998</v>
      </c>
      <c r="J25" s="165"/>
      <c r="K25" s="46">
        <f>L25+M25+O25+N25</f>
        <v>10036</v>
      </c>
      <c r="L25" s="105">
        <v>0</v>
      </c>
      <c r="M25" s="105">
        <v>10036</v>
      </c>
      <c r="N25" s="105">
        <v>0</v>
      </c>
      <c r="O25" s="44">
        <v>0</v>
      </c>
      <c r="P25" s="45">
        <v>3299</v>
      </c>
      <c r="Q25" s="45">
        <v>6121</v>
      </c>
      <c r="R25" s="198" t="s">
        <v>44</v>
      </c>
      <c r="S25" s="46">
        <f t="shared" si="16"/>
        <v>-7800</v>
      </c>
      <c r="T25" s="47">
        <v>0</v>
      </c>
      <c r="U25" s="47">
        <v>-7800</v>
      </c>
      <c r="V25" s="47">
        <v>0</v>
      </c>
      <c r="W25" s="47">
        <v>0</v>
      </c>
      <c r="X25" s="198" t="s">
        <v>44</v>
      </c>
      <c r="Y25" s="31">
        <f>Z25+AA25</f>
        <v>2236</v>
      </c>
      <c r="Z25" s="49">
        <f t="shared" si="2"/>
        <v>0</v>
      </c>
      <c r="AA25" s="49">
        <f t="shared" si="2"/>
        <v>2236</v>
      </c>
      <c r="AB25" s="49">
        <f t="shared" si="2"/>
        <v>0</v>
      </c>
      <c r="AC25" s="32">
        <f t="shared" si="2"/>
        <v>0</v>
      </c>
      <c r="AD25" s="199" t="str">
        <f>X25</f>
        <v>x</v>
      </c>
      <c r="AE25" s="34">
        <f t="shared" si="3"/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50000</v>
      </c>
      <c r="AK25" s="31">
        <f t="shared" si="20"/>
        <v>7800</v>
      </c>
      <c r="AL25" s="49">
        <f>AF25</f>
        <v>0</v>
      </c>
      <c r="AM25" s="49">
        <f>AG25+7800</f>
        <v>7800</v>
      </c>
      <c r="AN25" s="49">
        <f t="shared" ref="AN25:AN31" si="61">AH25</f>
        <v>0</v>
      </c>
      <c r="AO25" s="215">
        <v>0</v>
      </c>
      <c r="AP25" s="50">
        <f>AJ25-50000</f>
        <v>0</v>
      </c>
      <c r="AQ25" s="34">
        <f t="shared" si="5"/>
        <v>0</v>
      </c>
      <c r="AR25" s="47">
        <v>0</v>
      </c>
      <c r="AS25" s="47">
        <v>0</v>
      </c>
      <c r="AT25" s="48">
        <f>110000</f>
        <v>110000</v>
      </c>
      <c r="AU25" s="31">
        <f t="shared" si="6"/>
        <v>0</v>
      </c>
      <c r="AV25" s="49">
        <f t="shared" si="47"/>
        <v>0</v>
      </c>
      <c r="AW25" s="49">
        <f t="shared" si="7"/>
        <v>0</v>
      </c>
      <c r="AX25" s="49">
        <v>0</v>
      </c>
      <c r="AY25" s="50">
        <f>AT25+115000+25000</f>
        <v>250000</v>
      </c>
      <c r="AZ25" s="34">
        <f t="shared" si="8"/>
        <v>0</v>
      </c>
      <c r="BA25" s="47">
        <v>0</v>
      </c>
      <c r="BB25" s="47">
        <v>0</v>
      </c>
      <c r="BC25" s="47">
        <v>0</v>
      </c>
      <c r="BD25" s="47">
        <v>109022</v>
      </c>
      <c r="BE25" s="200">
        <f t="shared" si="9"/>
        <v>0</v>
      </c>
      <c r="BF25" s="49">
        <f t="shared" si="10"/>
        <v>0</v>
      </c>
      <c r="BG25" s="49">
        <f t="shared" si="10"/>
        <v>0</v>
      </c>
      <c r="BH25" s="49">
        <f t="shared" si="10"/>
        <v>0</v>
      </c>
      <c r="BI25" s="50">
        <f>BD25+116000+25000</f>
        <v>250022</v>
      </c>
      <c r="BJ25" s="34">
        <f t="shared" si="11"/>
        <v>0</v>
      </c>
      <c r="BK25" s="47">
        <v>0</v>
      </c>
      <c r="BL25" s="47">
        <v>0</v>
      </c>
      <c r="BM25" s="47">
        <v>0</v>
      </c>
      <c r="BN25" s="51">
        <f t="shared" si="12"/>
        <v>0</v>
      </c>
      <c r="BO25" s="49">
        <f t="shared" si="13"/>
        <v>0</v>
      </c>
      <c r="BP25" s="49">
        <f t="shared" si="13"/>
        <v>0</v>
      </c>
      <c r="BQ25" s="50">
        <f t="shared" si="13"/>
        <v>0</v>
      </c>
      <c r="BR25" s="106">
        <f t="shared" si="48"/>
        <v>269022</v>
      </c>
      <c r="BS25" s="50">
        <f t="shared" si="49"/>
        <v>500022</v>
      </c>
      <c r="BT25" s="52">
        <f t="shared" ref="BT25:BT31" si="62">I25+K25+AE25+AQ25+AZ25+BJ25+BR25</f>
        <v>281398.7</v>
      </c>
      <c r="BU25" s="53">
        <f t="shared" ref="BU25:BU31" si="63">I25+Y25+AK25+AU25+BE25+BN25+BS25</f>
        <v>512398.7</v>
      </c>
      <c r="BV25" s="20">
        <f>BT25-BU25</f>
        <v>-231000</v>
      </c>
      <c r="BW25" s="21" t="s">
        <v>99</v>
      </c>
    </row>
    <row r="26" spans="1:76" s="21" customFormat="1" ht="33.75" x14ac:dyDescent="0.2">
      <c r="A26" s="116">
        <v>2</v>
      </c>
      <c r="B26" s="118" t="s">
        <v>76</v>
      </c>
      <c r="C26" s="118" t="s">
        <v>43</v>
      </c>
      <c r="D26" s="25" t="s">
        <v>52</v>
      </c>
      <c r="E26" s="103">
        <v>7</v>
      </c>
      <c r="F26" s="207" t="s">
        <v>50</v>
      </c>
      <c r="G26" s="136">
        <v>5867</v>
      </c>
      <c r="H26" s="104" t="s">
        <v>84</v>
      </c>
      <c r="I26" s="43">
        <v>1361.25</v>
      </c>
      <c r="J26" s="165"/>
      <c r="K26" s="46">
        <f t="shared" si="0"/>
        <v>1400</v>
      </c>
      <c r="L26" s="105">
        <v>500</v>
      </c>
      <c r="M26" s="105">
        <v>900</v>
      </c>
      <c r="N26" s="105">
        <v>0</v>
      </c>
      <c r="O26" s="44">
        <v>0</v>
      </c>
      <c r="P26" s="45">
        <v>3127</v>
      </c>
      <c r="Q26" s="45">
        <v>6121</v>
      </c>
      <c r="R26" s="198" t="s">
        <v>44</v>
      </c>
      <c r="S26" s="46">
        <f t="shared" si="16"/>
        <v>0</v>
      </c>
      <c r="T26" s="47">
        <v>0</v>
      </c>
      <c r="U26" s="47">
        <v>0</v>
      </c>
      <c r="V26" s="47">
        <v>0</v>
      </c>
      <c r="W26" s="47">
        <v>0</v>
      </c>
      <c r="X26" s="198" t="s">
        <v>44</v>
      </c>
      <c r="Y26" s="31">
        <f>Z26+AA26</f>
        <v>1400</v>
      </c>
      <c r="Z26" s="49">
        <f t="shared" si="2"/>
        <v>500</v>
      </c>
      <c r="AA26" s="49">
        <f t="shared" si="2"/>
        <v>900</v>
      </c>
      <c r="AB26" s="49">
        <f t="shared" si="2"/>
        <v>0</v>
      </c>
      <c r="AC26" s="32">
        <f t="shared" si="2"/>
        <v>0</v>
      </c>
      <c r="AD26" s="199" t="str">
        <f>X26</f>
        <v>x</v>
      </c>
      <c r="AE26" s="34">
        <f t="shared" si="3"/>
        <v>60000</v>
      </c>
      <c r="AF26" s="47">
        <v>0</v>
      </c>
      <c r="AG26" s="47">
        <v>60000</v>
      </c>
      <c r="AH26" s="47">
        <v>0</v>
      </c>
      <c r="AI26" s="47">
        <v>0</v>
      </c>
      <c r="AJ26" s="47">
        <v>0</v>
      </c>
      <c r="AK26" s="31">
        <f t="shared" si="20"/>
        <v>60000</v>
      </c>
      <c r="AL26" s="49">
        <f>AF26</f>
        <v>0</v>
      </c>
      <c r="AM26" s="49">
        <f>AG26</f>
        <v>60000</v>
      </c>
      <c r="AN26" s="49">
        <f t="shared" si="61"/>
        <v>0</v>
      </c>
      <c r="AO26" s="215">
        <v>0</v>
      </c>
      <c r="AP26" s="50">
        <f t="shared" si="23"/>
        <v>0</v>
      </c>
      <c r="AQ26" s="34">
        <f t="shared" si="5"/>
        <v>14100</v>
      </c>
      <c r="AR26" s="47">
        <v>2149.5</v>
      </c>
      <c r="AS26" s="47">
        <v>11950.5</v>
      </c>
      <c r="AT26" s="48">
        <v>0</v>
      </c>
      <c r="AU26" s="31">
        <f t="shared" si="6"/>
        <v>71339</v>
      </c>
      <c r="AV26" s="49">
        <f>AR26+57239</f>
        <v>59388.5</v>
      </c>
      <c r="AW26" s="49">
        <f t="shared" si="7"/>
        <v>11950.5</v>
      </c>
      <c r="AX26" s="49">
        <v>0</v>
      </c>
      <c r="AY26" s="50">
        <f>AT26</f>
        <v>0</v>
      </c>
      <c r="AZ26" s="34">
        <f t="shared" si="8"/>
        <v>15000</v>
      </c>
      <c r="BA26" s="47">
        <v>15000</v>
      </c>
      <c r="BB26" s="47">
        <v>0</v>
      </c>
      <c r="BC26" s="47">
        <v>0</v>
      </c>
      <c r="BD26" s="47">
        <v>0</v>
      </c>
      <c r="BE26" s="200">
        <f t="shared" si="9"/>
        <v>15000</v>
      </c>
      <c r="BF26" s="49">
        <f t="shared" si="10"/>
        <v>15000</v>
      </c>
      <c r="BG26" s="49">
        <f t="shared" si="10"/>
        <v>0</v>
      </c>
      <c r="BH26" s="49">
        <f t="shared" si="10"/>
        <v>0</v>
      </c>
      <c r="BI26" s="50">
        <f>BD26</f>
        <v>0</v>
      </c>
      <c r="BJ26" s="34">
        <f t="shared" si="11"/>
        <v>0</v>
      </c>
      <c r="BK26" s="47">
        <v>0</v>
      </c>
      <c r="BL26" s="47">
        <v>0</v>
      </c>
      <c r="BM26" s="47">
        <v>0</v>
      </c>
      <c r="BN26" s="51">
        <f t="shared" si="12"/>
        <v>0</v>
      </c>
      <c r="BO26" s="49">
        <f t="shared" si="13"/>
        <v>0</v>
      </c>
      <c r="BP26" s="49">
        <f t="shared" si="13"/>
        <v>0</v>
      </c>
      <c r="BQ26" s="50">
        <f t="shared" si="13"/>
        <v>0</v>
      </c>
      <c r="BR26" s="106">
        <f t="shared" si="48"/>
        <v>0</v>
      </c>
      <c r="BS26" s="50">
        <f t="shared" si="49"/>
        <v>0</v>
      </c>
      <c r="BT26" s="52">
        <f t="shared" si="62"/>
        <v>91861.25</v>
      </c>
      <c r="BU26" s="53">
        <f t="shared" si="63"/>
        <v>149100.25</v>
      </c>
      <c r="BV26" s="20">
        <f t="shared" si="17"/>
        <v>-57239</v>
      </c>
      <c r="BW26" s="21" t="s">
        <v>90</v>
      </c>
      <c r="BX26" s="21" t="s">
        <v>99</v>
      </c>
    </row>
    <row r="27" spans="1:76" s="21" customFormat="1" ht="31.5" x14ac:dyDescent="0.2">
      <c r="A27" s="116">
        <v>2</v>
      </c>
      <c r="B27" s="118" t="s">
        <v>76</v>
      </c>
      <c r="C27" s="114" t="s">
        <v>48</v>
      </c>
      <c r="D27" s="87" t="s">
        <v>98</v>
      </c>
      <c r="E27" s="103">
        <v>7</v>
      </c>
      <c r="F27" s="189" t="s">
        <v>66</v>
      </c>
      <c r="G27" s="111">
        <v>4160001316</v>
      </c>
      <c r="H27" s="104" t="s">
        <v>91</v>
      </c>
      <c r="I27" s="43">
        <v>500</v>
      </c>
      <c r="J27" s="165"/>
      <c r="K27" s="27">
        <f t="shared" si="0"/>
        <v>15300</v>
      </c>
      <c r="L27" s="82">
        <v>15300</v>
      </c>
      <c r="M27" s="82">
        <v>0</v>
      </c>
      <c r="N27" s="82">
        <v>0</v>
      </c>
      <c r="O27" s="28">
        <v>0</v>
      </c>
      <c r="P27" s="29">
        <v>3127</v>
      </c>
      <c r="Q27" s="29">
        <v>5331</v>
      </c>
      <c r="R27" s="163">
        <v>15300000</v>
      </c>
      <c r="S27" s="27">
        <f t="shared" si="16"/>
        <v>-6000</v>
      </c>
      <c r="T27" s="30">
        <v>-6000</v>
      </c>
      <c r="U27" s="30">
        <v>0</v>
      </c>
      <c r="V27" s="47">
        <v>0</v>
      </c>
      <c r="W27" s="47">
        <v>0</v>
      </c>
      <c r="X27" s="164">
        <v>-6000000</v>
      </c>
      <c r="Y27" s="42">
        <f t="shared" si="1"/>
        <v>9300</v>
      </c>
      <c r="Z27" s="32">
        <f t="shared" si="2"/>
        <v>9300</v>
      </c>
      <c r="AA27" s="32">
        <f t="shared" si="2"/>
        <v>0</v>
      </c>
      <c r="AB27" s="32">
        <f t="shared" si="2"/>
        <v>0</v>
      </c>
      <c r="AC27" s="32">
        <f t="shared" si="2"/>
        <v>0</v>
      </c>
      <c r="AD27" s="33">
        <f t="shared" si="18"/>
        <v>-6000000</v>
      </c>
      <c r="AE27" s="36">
        <f t="shared" si="3"/>
        <v>4900</v>
      </c>
      <c r="AF27" s="47">
        <v>4900</v>
      </c>
      <c r="AG27" s="47">
        <v>0</v>
      </c>
      <c r="AH27" s="47">
        <v>0</v>
      </c>
      <c r="AI27" s="47">
        <v>0</v>
      </c>
      <c r="AJ27" s="47">
        <v>0</v>
      </c>
      <c r="AK27" s="42">
        <f t="shared" si="20"/>
        <v>22900</v>
      </c>
      <c r="AL27" s="32">
        <f>AF27+6000+12000</f>
        <v>22900</v>
      </c>
      <c r="AM27" s="32">
        <f>AG27</f>
        <v>0</v>
      </c>
      <c r="AN27" s="32">
        <f t="shared" si="61"/>
        <v>0</v>
      </c>
      <c r="AO27" s="215">
        <v>0</v>
      </c>
      <c r="AP27" s="33">
        <f t="shared" si="21"/>
        <v>0</v>
      </c>
      <c r="AQ27" s="36">
        <f t="shared" si="5"/>
        <v>0</v>
      </c>
      <c r="AR27" s="47">
        <v>0</v>
      </c>
      <c r="AS27" s="47">
        <v>0</v>
      </c>
      <c r="AT27" s="35">
        <v>0</v>
      </c>
      <c r="AU27" s="42">
        <f t="shared" si="6"/>
        <v>0</v>
      </c>
      <c r="AV27" s="32">
        <f t="shared" si="7"/>
        <v>0</v>
      </c>
      <c r="AW27" s="32">
        <f t="shared" si="7"/>
        <v>0</v>
      </c>
      <c r="AX27" s="32">
        <v>0</v>
      </c>
      <c r="AY27" s="33">
        <f t="shared" si="22"/>
        <v>0</v>
      </c>
      <c r="AZ27" s="36">
        <f t="shared" si="8"/>
        <v>0</v>
      </c>
      <c r="BA27" s="47">
        <v>0</v>
      </c>
      <c r="BB27" s="47">
        <v>0</v>
      </c>
      <c r="BC27" s="47">
        <v>0</v>
      </c>
      <c r="BD27" s="47">
        <v>0</v>
      </c>
      <c r="BE27" s="161">
        <f t="shared" si="9"/>
        <v>0</v>
      </c>
      <c r="BF27" s="32">
        <f t="shared" si="10"/>
        <v>0</v>
      </c>
      <c r="BG27" s="32">
        <f t="shared" si="10"/>
        <v>0</v>
      </c>
      <c r="BH27" s="32">
        <f t="shared" si="10"/>
        <v>0</v>
      </c>
      <c r="BI27" s="33">
        <f t="shared" si="10"/>
        <v>0</v>
      </c>
      <c r="BJ27" s="36">
        <f t="shared" si="11"/>
        <v>0</v>
      </c>
      <c r="BK27" s="47">
        <v>0</v>
      </c>
      <c r="BL27" s="47">
        <v>0</v>
      </c>
      <c r="BM27" s="47">
        <v>0</v>
      </c>
      <c r="BN27" s="37">
        <f t="shared" si="12"/>
        <v>0</v>
      </c>
      <c r="BO27" s="32">
        <f t="shared" si="13"/>
        <v>0</v>
      </c>
      <c r="BP27" s="32">
        <f t="shared" si="13"/>
        <v>0</v>
      </c>
      <c r="BQ27" s="33">
        <f t="shared" si="13"/>
        <v>0</v>
      </c>
      <c r="BR27" s="38">
        <f t="shared" si="48"/>
        <v>0</v>
      </c>
      <c r="BS27" s="33">
        <f t="shared" si="49"/>
        <v>0</v>
      </c>
      <c r="BT27" s="39">
        <f t="shared" si="62"/>
        <v>20700</v>
      </c>
      <c r="BU27" s="40">
        <f t="shared" si="63"/>
        <v>32700</v>
      </c>
      <c r="BV27" s="85">
        <f t="shared" si="17"/>
        <v>-12000</v>
      </c>
      <c r="BW27" s="86" t="s">
        <v>90</v>
      </c>
      <c r="BX27" s="21" t="s">
        <v>99</v>
      </c>
    </row>
    <row r="28" spans="1:76" s="21" customFormat="1" ht="51" customHeight="1" x14ac:dyDescent="0.2">
      <c r="A28" s="22">
        <v>2</v>
      </c>
      <c r="B28" s="24" t="s">
        <v>76</v>
      </c>
      <c r="C28" s="23" t="s">
        <v>48</v>
      </c>
      <c r="D28" s="25" t="s">
        <v>83</v>
      </c>
      <c r="E28" s="96">
        <v>7</v>
      </c>
      <c r="F28" s="186" t="s">
        <v>63</v>
      </c>
      <c r="G28" s="108">
        <v>4002401305</v>
      </c>
      <c r="H28" s="83" t="s">
        <v>92</v>
      </c>
      <c r="I28" s="26">
        <f>14+838</f>
        <v>852</v>
      </c>
      <c r="J28" s="166"/>
      <c r="K28" s="27">
        <f>L28+M28+O28+N28</f>
        <v>15536.06</v>
      </c>
      <c r="L28" s="82">
        <v>536.05999999999995</v>
      </c>
      <c r="M28" s="82">
        <v>15000</v>
      </c>
      <c r="N28" s="82">
        <v>0</v>
      </c>
      <c r="O28" s="28">
        <v>0</v>
      </c>
      <c r="P28" s="29">
        <v>3127</v>
      </c>
      <c r="Q28" s="29">
        <v>6351</v>
      </c>
      <c r="R28" s="163">
        <v>14850000</v>
      </c>
      <c r="S28" s="27">
        <f>T28+U28+V28</f>
        <v>-10000</v>
      </c>
      <c r="T28" s="30">
        <v>0</v>
      </c>
      <c r="U28" s="30">
        <v>-10000</v>
      </c>
      <c r="V28" s="47">
        <v>0</v>
      </c>
      <c r="W28" s="47">
        <v>0</v>
      </c>
      <c r="X28" s="164">
        <v>-10000000</v>
      </c>
      <c r="Y28" s="42">
        <f>Z28+AA28</f>
        <v>5536.0599999999995</v>
      </c>
      <c r="Z28" s="32">
        <f t="shared" si="2"/>
        <v>536.05999999999995</v>
      </c>
      <c r="AA28" s="32">
        <f>M28+U28</f>
        <v>5000</v>
      </c>
      <c r="AB28" s="32">
        <f t="shared" si="2"/>
        <v>0</v>
      </c>
      <c r="AC28" s="32">
        <f t="shared" si="2"/>
        <v>0</v>
      </c>
      <c r="AD28" s="33">
        <f>X28</f>
        <v>-10000000</v>
      </c>
      <c r="AE28" s="36">
        <f>AF28+AG28+AH28</f>
        <v>23000</v>
      </c>
      <c r="AF28" s="47">
        <v>0</v>
      </c>
      <c r="AG28" s="47">
        <v>23000</v>
      </c>
      <c r="AH28" s="47">
        <v>0</v>
      </c>
      <c r="AI28" s="47">
        <v>0</v>
      </c>
      <c r="AJ28" s="47">
        <v>0</v>
      </c>
      <c r="AK28" s="42">
        <f>AL28+AM28</f>
        <v>33000</v>
      </c>
      <c r="AL28" s="32">
        <v>0</v>
      </c>
      <c r="AM28" s="32">
        <f>AG28+10000</f>
        <v>33000</v>
      </c>
      <c r="AN28" s="32">
        <f t="shared" si="61"/>
        <v>0</v>
      </c>
      <c r="AO28" s="215">
        <v>0</v>
      </c>
      <c r="AP28" s="33">
        <f>AJ28</f>
        <v>0</v>
      </c>
      <c r="AQ28" s="36">
        <f>AR28+AS28</f>
        <v>0</v>
      </c>
      <c r="AR28" s="47">
        <v>0</v>
      </c>
      <c r="AS28" s="47">
        <v>0</v>
      </c>
      <c r="AT28" s="35">
        <v>0</v>
      </c>
      <c r="AU28" s="42">
        <f>AV28+AW28</f>
        <v>24000</v>
      </c>
      <c r="AV28" s="32">
        <f>AR28+24000</f>
        <v>24000</v>
      </c>
      <c r="AW28" s="32">
        <f>AS28</f>
        <v>0</v>
      </c>
      <c r="AX28" s="32">
        <v>0</v>
      </c>
      <c r="AY28" s="33">
        <f>AT28</f>
        <v>0</v>
      </c>
      <c r="AZ28" s="36">
        <f>BA28+BB28</f>
        <v>0</v>
      </c>
      <c r="BA28" s="47">
        <v>0</v>
      </c>
      <c r="BB28" s="47">
        <v>0</v>
      </c>
      <c r="BC28" s="47">
        <v>0</v>
      </c>
      <c r="BD28" s="47">
        <v>0</v>
      </c>
      <c r="BE28" s="161">
        <f>BF28+BG28</f>
        <v>0</v>
      </c>
      <c r="BF28" s="32">
        <f t="shared" ref="BF28:BI30" si="64">BA28</f>
        <v>0</v>
      </c>
      <c r="BG28" s="32">
        <f t="shared" si="64"/>
        <v>0</v>
      </c>
      <c r="BH28" s="32">
        <f t="shared" si="64"/>
        <v>0</v>
      </c>
      <c r="BI28" s="33">
        <f t="shared" si="64"/>
        <v>0</v>
      </c>
      <c r="BJ28" s="36">
        <f>BK28</f>
        <v>0</v>
      </c>
      <c r="BK28" s="47">
        <v>0</v>
      </c>
      <c r="BL28" s="47">
        <v>0</v>
      </c>
      <c r="BM28" s="47">
        <v>0</v>
      </c>
      <c r="BN28" s="37">
        <f>BO28</f>
        <v>0</v>
      </c>
      <c r="BO28" s="32">
        <f t="shared" ref="BO28:BQ30" si="65">BK28</f>
        <v>0</v>
      </c>
      <c r="BP28" s="32">
        <f t="shared" si="65"/>
        <v>0</v>
      </c>
      <c r="BQ28" s="33">
        <f t="shared" si="65"/>
        <v>0</v>
      </c>
      <c r="BR28" s="38">
        <f t="shared" si="48"/>
        <v>0</v>
      </c>
      <c r="BS28" s="33">
        <f t="shared" si="49"/>
        <v>0</v>
      </c>
      <c r="BT28" s="39">
        <f t="shared" si="62"/>
        <v>39388.06</v>
      </c>
      <c r="BU28" s="40">
        <f t="shared" si="63"/>
        <v>63388.06</v>
      </c>
      <c r="BV28" s="85">
        <f>BT28-BU28</f>
        <v>-24000</v>
      </c>
      <c r="BW28" s="86" t="s">
        <v>101</v>
      </c>
      <c r="BX28" s="21" t="s">
        <v>99</v>
      </c>
    </row>
    <row r="29" spans="1:76" s="21" customFormat="1" ht="23.25" customHeight="1" x14ac:dyDescent="0.2">
      <c r="A29" s="22">
        <v>2</v>
      </c>
      <c r="B29" s="24" t="s">
        <v>76</v>
      </c>
      <c r="C29" s="24" t="s">
        <v>48</v>
      </c>
      <c r="D29" s="25" t="s">
        <v>97</v>
      </c>
      <c r="E29" s="96">
        <v>7</v>
      </c>
      <c r="F29" s="322" t="s">
        <v>64</v>
      </c>
      <c r="G29" s="155">
        <v>4004401127</v>
      </c>
      <c r="H29" s="83" t="s">
        <v>81</v>
      </c>
      <c r="I29" s="332">
        <v>127</v>
      </c>
      <c r="J29" s="166"/>
      <c r="K29" s="27">
        <f>L29+M29+O29+N29</f>
        <v>7223</v>
      </c>
      <c r="L29" s="82">
        <v>0</v>
      </c>
      <c r="M29" s="112">
        <v>7223</v>
      </c>
      <c r="N29" s="82">
        <v>0</v>
      </c>
      <c r="O29" s="28">
        <v>0</v>
      </c>
      <c r="P29" s="29">
        <v>3121</v>
      </c>
      <c r="Q29" s="29">
        <v>6351</v>
      </c>
      <c r="R29" s="163">
        <v>7223000</v>
      </c>
      <c r="S29" s="27">
        <f>T29+U29+V29</f>
        <v>-6550</v>
      </c>
      <c r="T29" s="30">
        <v>0</v>
      </c>
      <c r="U29" s="30">
        <v>-6550</v>
      </c>
      <c r="V29" s="47">
        <v>0</v>
      </c>
      <c r="W29" s="47">
        <v>0</v>
      </c>
      <c r="X29" s="164">
        <v>-6550000</v>
      </c>
      <c r="Y29" s="42">
        <f>Z29+AA29</f>
        <v>673</v>
      </c>
      <c r="Z29" s="32">
        <f t="shared" si="2"/>
        <v>0</v>
      </c>
      <c r="AA29" s="32">
        <f>M29+U29</f>
        <v>673</v>
      </c>
      <c r="AB29" s="32">
        <f t="shared" si="2"/>
        <v>0</v>
      </c>
      <c r="AC29" s="32">
        <f t="shared" si="2"/>
        <v>0</v>
      </c>
      <c r="AD29" s="33">
        <f>X29</f>
        <v>-6550000</v>
      </c>
      <c r="AE29" s="36">
        <f>AF29+AG29+AH29</f>
        <v>14000</v>
      </c>
      <c r="AF29" s="47">
        <v>0</v>
      </c>
      <c r="AG29" s="47">
        <v>14000</v>
      </c>
      <c r="AH29" s="47">
        <v>0</v>
      </c>
      <c r="AI29" s="47">
        <v>0</v>
      </c>
      <c r="AJ29" s="47">
        <v>0</v>
      </c>
      <c r="AK29" s="42">
        <f t="shared" si="20"/>
        <v>47550</v>
      </c>
      <c r="AL29" s="32">
        <f>AF29+27000</f>
        <v>27000</v>
      </c>
      <c r="AM29" s="32">
        <f>AG29+6550</f>
        <v>20550</v>
      </c>
      <c r="AN29" s="32">
        <f t="shared" si="61"/>
        <v>0</v>
      </c>
      <c r="AO29" s="215">
        <v>0</v>
      </c>
      <c r="AP29" s="33">
        <f>AJ29</f>
        <v>0</v>
      </c>
      <c r="AQ29" s="36">
        <f>AR29+AS29</f>
        <v>0</v>
      </c>
      <c r="AR29" s="47">
        <v>0</v>
      </c>
      <c r="AS29" s="47">
        <v>0</v>
      </c>
      <c r="AT29" s="35">
        <v>0</v>
      </c>
      <c r="AU29" s="42">
        <f>AV29+AW29</f>
        <v>0</v>
      </c>
      <c r="AV29" s="32">
        <f>AR29</f>
        <v>0</v>
      </c>
      <c r="AW29" s="32">
        <f>AS29</f>
        <v>0</v>
      </c>
      <c r="AX29" s="32">
        <v>0</v>
      </c>
      <c r="AY29" s="33">
        <f>AT29</f>
        <v>0</v>
      </c>
      <c r="AZ29" s="36">
        <f>BA29+BB29</f>
        <v>0</v>
      </c>
      <c r="BA29" s="47">
        <v>0</v>
      </c>
      <c r="BB29" s="47">
        <v>0</v>
      </c>
      <c r="BC29" s="47">
        <v>0</v>
      </c>
      <c r="BD29" s="47">
        <v>0</v>
      </c>
      <c r="BE29" s="161">
        <f>BF29+BG29</f>
        <v>0</v>
      </c>
      <c r="BF29" s="32">
        <f t="shared" si="64"/>
        <v>0</v>
      </c>
      <c r="BG29" s="32">
        <f t="shared" si="64"/>
        <v>0</v>
      </c>
      <c r="BH29" s="32">
        <f t="shared" si="64"/>
        <v>0</v>
      </c>
      <c r="BI29" s="33">
        <f t="shared" si="64"/>
        <v>0</v>
      </c>
      <c r="BJ29" s="36">
        <f>BK29</f>
        <v>0</v>
      </c>
      <c r="BK29" s="47">
        <v>0</v>
      </c>
      <c r="BL29" s="47">
        <v>0</v>
      </c>
      <c r="BM29" s="47">
        <v>0</v>
      </c>
      <c r="BN29" s="37">
        <f>BO29</f>
        <v>0</v>
      </c>
      <c r="BO29" s="32">
        <f t="shared" si="65"/>
        <v>0</v>
      </c>
      <c r="BP29" s="32">
        <f t="shared" si="65"/>
        <v>0</v>
      </c>
      <c r="BQ29" s="33">
        <f t="shared" si="65"/>
        <v>0</v>
      </c>
      <c r="BR29" s="38">
        <f t="shared" si="48"/>
        <v>0</v>
      </c>
      <c r="BS29" s="33">
        <f t="shared" si="49"/>
        <v>0</v>
      </c>
      <c r="BT29" s="39">
        <f t="shared" si="62"/>
        <v>21350</v>
      </c>
      <c r="BU29" s="40">
        <f t="shared" si="63"/>
        <v>48350</v>
      </c>
      <c r="BV29" s="85">
        <f>BT29-BU29</f>
        <v>-27000</v>
      </c>
      <c r="BW29" s="86" t="s">
        <v>102</v>
      </c>
      <c r="BX29" s="86"/>
    </row>
    <row r="30" spans="1:76" s="21" customFormat="1" ht="19.5" customHeight="1" x14ac:dyDescent="0.2">
      <c r="A30" s="22">
        <v>2</v>
      </c>
      <c r="B30" s="24" t="s">
        <v>76</v>
      </c>
      <c r="C30" s="24" t="s">
        <v>48</v>
      </c>
      <c r="D30" s="25"/>
      <c r="E30" s="96">
        <v>7</v>
      </c>
      <c r="F30" s="323"/>
      <c r="G30" s="121">
        <v>4004400000</v>
      </c>
      <c r="H30" s="83" t="s">
        <v>81</v>
      </c>
      <c r="I30" s="333"/>
      <c r="J30" s="166"/>
      <c r="K30" s="27">
        <v>150</v>
      </c>
      <c r="L30" s="82">
        <v>0</v>
      </c>
      <c r="M30" s="112">
        <v>150</v>
      </c>
      <c r="N30" s="82">
        <v>0</v>
      </c>
      <c r="O30" s="28">
        <v>0</v>
      </c>
      <c r="P30" s="29">
        <v>3121</v>
      </c>
      <c r="Q30" s="29">
        <v>6121</v>
      </c>
      <c r="R30" s="163" t="s">
        <v>44</v>
      </c>
      <c r="S30" s="27">
        <f>T30+U30+V30</f>
        <v>-150</v>
      </c>
      <c r="T30" s="30">
        <v>0</v>
      </c>
      <c r="U30" s="30">
        <v>-150</v>
      </c>
      <c r="V30" s="47">
        <v>0</v>
      </c>
      <c r="W30" s="47">
        <v>0</v>
      </c>
      <c r="X30" s="164" t="s">
        <v>44</v>
      </c>
      <c r="Y30" s="42">
        <f>Z30+AA30</f>
        <v>0</v>
      </c>
      <c r="Z30" s="32">
        <f t="shared" si="2"/>
        <v>0</v>
      </c>
      <c r="AA30" s="32">
        <f>M30+U30</f>
        <v>0</v>
      </c>
      <c r="AB30" s="32">
        <f t="shared" si="2"/>
        <v>0</v>
      </c>
      <c r="AC30" s="32">
        <f t="shared" si="2"/>
        <v>0</v>
      </c>
      <c r="AD30" s="177" t="str">
        <f t="shared" si="18"/>
        <v>x</v>
      </c>
      <c r="AE30" s="36">
        <v>0</v>
      </c>
      <c r="AF30" s="47">
        <v>0</v>
      </c>
      <c r="AG30" s="47">
        <v>0</v>
      </c>
      <c r="AH30" s="47">
        <v>0</v>
      </c>
      <c r="AI30" s="47">
        <v>0</v>
      </c>
      <c r="AJ30" s="47">
        <v>0</v>
      </c>
      <c r="AK30" s="42">
        <f t="shared" si="20"/>
        <v>150</v>
      </c>
      <c r="AL30" s="32">
        <v>0</v>
      </c>
      <c r="AM30" s="32">
        <f>AG30+150</f>
        <v>150</v>
      </c>
      <c r="AN30" s="32">
        <f t="shared" si="61"/>
        <v>0</v>
      </c>
      <c r="AO30" s="215">
        <v>0</v>
      </c>
      <c r="AP30" s="33"/>
      <c r="AQ30" s="36">
        <f>AR30+AS30</f>
        <v>0</v>
      </c>
      <c r="AR30" s="47">
        <v>0</v>
      </c>
      <c r="AS30" s="47">
        <v>0</v>
      </c>
      <c r="AT30" s="35">
        <v>0</v>
      </c>
      <c r="AU30" s="42">
        <f>AV30+AW30</f>
        <v>0</v>
      </c>
      <c r="AV30" s="32">
        <v>0</v>
      </c>
      <c r="AW30" s="32">
        <f>AS30</f>
        <v>0</v>
      </c>
      <c r="AX30" s="32">
        <v>0</v>
      </c>
      <c r="AY30" s="33">
        <f>AT30</f>
        <v>0</v>
      </c>
      <c r="AZ30" s="36">
        <f>BA30+BB30</f>
        <v>0</v>
      </c>
      <c r="BA30" s="47">
        <v>0</v>
      </c>
      <c r="BB30" s="47">
        <v>0</v>
      </c>
      <c r="BC30" s="47">
        <v>0</v>
      </c>
      <c r="BD30" s="47">
        <v>0</v>
      </c>
      <c r="BE30" s="161">
        <f>BF30+BG30</f>
        <v>0</v>
      </c>
      <c r="BF30" s="32">
        <f t="shared" si="64"/>
        <v>0</v>
      </c>
      <c r="BG30" s="32">
        <f t="shared" si="64"/>
        <v>0</v>
      </c>
      <c r="BH30" s="32">
        <f t="shared" si="64"/>
        <v>0</v>
      </c>
      <c r="BI30" s="33">
        <v>0</v>
      </c>
      <c r="BJ30" s="36">
        <f>BK30</f>
        <v>0</v>
      </c>
      <c r="BK30" s="47">
        <v>0</v>
      </c>
      <c r="BL30" s="47">
        <v>0</v>
      </c>
      <c r="BM30" s="47">
        <v>0</v>
      </c>
      <c r="BN30" s="37">
        <f>BO30</f>
        <v>0</v>
      </c>
      <c r="BO30" s="32">
        <f t="shared" si="65"/>
        <v>0</v>
      </c>
      <c r="BP30" s="32">
        <f t="shared" si="65"/>
        <v>0</v>
      </c>
      <c r="BQ30" s="33">
        <f t="shared" si="65"/>
        <v>0</v>
      </c>
      <c r="BR30" s="38">
        <f t="shared" si="48"/>
        <v>0</v>
      </c>
      <c r="BS30" s="33"/>
      <c r="BT30" s="39">
        <f t="shared" si="62"/>
        <v>150</v>
      </c>
      <c r="BU30" s="40">
        <f t="shared" si="63"/>
        <v>150</v>
      </c>
      <c r="BV30" s="85">
        <f>BT30-BU30</f>
        <v>0</v>
      </c>
      <c r="BW30" s="86"/>
      <c r="BX30" s="86"/>
    </row>
    <row r="31" spans="1:76" s="21" customFormat="1" ht="34.5" customHeight="1" x14ac:dyDescent="0.2">
      <c r="A31" s="22">
        <v>2</v>
      </c>
      <c r="B31" s="24" t="s">
        <v>77</v>
      </c>
      <c r="C31" s="24" t="s">
        <v>48</v>
      </c>
      <c r="D31" s="87" t="s">
        <v>98</v>
      </c>
      <c r="E31" s="96">
        <v>7</v>
      </c>
      <c r="F31" s="186" t="s">
        <v>71</v>
      </c>
      <c r="G31" s="108">
        <v>4228105000</v>
      </c>
      <c r="H31" s="83" t="s">
        <v>92</v>
      </c>
      <c r="I31" s="26">
        <v>0</v>
      </c>
      <c r="J31" s="166"/>
      <c r="K31" s="27">
        <f>L31+M31+O31+N31</f>
        <v>14800</v>
      </c>
      <c r="L31" s="82">
        <v>14800</v>
      </c>
      <c r="M31" s="82">
        <v>0</v>
      </c>
      <c r="N31" s="82">
        <v>0</v>
      </c>
      <c r="O31" s="28">
        <v>0</v>
      </c>
      <c r="P31" s="29">
        <v>3522</v>
      </c>
      <c r="Q31" s="29">
        <v>6351</v>
      </c>
      <c r="R31" s="163">
        <v>14800000</v>
      </c>
      <c r="S31" s="27">
        <f t="shared" si="16"/>
        <v>-7000</v>
      </c>
      <c r="T31" s="30">
        <v>-7000</v>
      </c>
      <c r="U31" s="30">
        <v>0</v>
      </c>
      <c r="V31" s="47">
        <v>0</v>
      </c>
      <c r="W31" s="47">
        <v>0</v>
      </c>
      <c r="X31" s="164">
        <v>-7000000</v>
      </c>
      <c r="Y31" s="42">
        <f t="shared" ref="Y31" si="66">Z31+AA31</f>
        <v>7800</v>
      </c>
      <c r="Z31" s="32">
        <f t="shared" ref="Z31:AC33" si="67">L31+T31</f>
        <v>7800</v>
      </c>
      <c r="AA31" s="32">
        <f t="shared" si="67"/>
        <v>0</v>
      </c>
      <c r="AB31" s="32">
        <f t="shared" si="67"/>
        <v>0</v>
      </c>
      <c r="AC31" s="32">
        <f t="shared" si="67"/>
        <v>0</v>
      </c>
      <c r="AD31" s="33">
        <f t="shared" si="18"/>
        <v>-7000000</v>
      </c>
      <c r="AE31" s="36">
        <f t="shared" si="3"/>
        <v>0</v>
      </c>
      <c r="AF31" s="47">
        <v>0</v>
      </c>
      <c r="AG31" s="47">
        <v>0</v>
      </c>
      <c r="AH31" s="47">
        <v>0</v>
      </c>
      <c r="AI31" s="47">
        <v>0</v>
      </c>
      <c r="AJ31" s="47">
        <v>0</v>
      </c>
      <c r="AK31" s="42">
        <f t="shared" ref="AK31" si="68">AL31+AM31</f>
        <v>17200</v>
      </c>
      <c r="AL31" s="32">
        <f>AF31+7000+10200</f>
        <v>17200</v>
      </c>
      <c r="AM31" s="32">
        <f>AG31</f>
        <v>0</v>
      </c>
      <c r="AN31" s="32">
        <f t="shared" si="61"/>
        <v>0</v>
      </c>
      <c r="AO31" s="215">
        <v>0</v>
      </c>
      <c r="AP31" s="33">
        <f t="shared" ref="AP31" si="69">AJ31</f>
        <v>0</v>
      </c>
      <c r="AQ31" s="36">
        <f t="shared" si="5"/>
        <v>0</v>
      </c>
      <c r="AR31" s="47">
        <v>0</v>
      </c>
      <c r="AS31" s="47">
        <v>0</v>
      </c>
      <c r="AT31" s="35">
        <v>0</v>
      </c>
      <c r="AU31" s="42">
        <f t="shared" si="6"/>
        <v>0</v>
      </c>
      <c r="AV31" s="32">
        <f t="shared" ref="AV31:AW33" si="70">AR31</f>
        <v>0</v>
      </c>
      <c r="AW31" s="32">
        <f t="shared" si="70"/>
        <v>0</v>
      </c>
      <c r="AX31" s="32">
        <v>0</v>
      </c>
      <c r="AY31" s="33">
        <f t="shared" si="22"/>
        <v>0</v>
      </c>
      <c r="AZ31" s="36">
        <f t="shared" si="8"/>
        <v>0</v>
      </c>
      <c r="BA31" s="47">
        <v>0</v>
      </c>
      <c r="BB31" s="47">
        <v>0</v>
      </c>
      <c r="BC31" s="47">
        <v>0</v>
      </c>
      <c r="BD31" s="47">
        <v>0</v>
      </c>
      <c r="BE31" s="161">
        <f t="shared" si="9"/>
        <v>0</v>
      </c>
      <c r="BF31" s="32">
        <f t="shared" ref="BF31:BI33" si="71">BA31</f>
        <v>0</v>
      </c>
      <c r="BG31" s="32">
        <f t="shared" si="71"/>
        <v>0</v>
      </c>
      <c r="BH31" s="32">
        <f t="shared" si="71"/>
        <v>0</v>
      </c>
      <c r="BI31" s="33">
        <f t="shared" si="71"/>
        <v>0</v>
      </c>
      <c r="BJ31" s="36">
        <f t="shared" si="11"/>
        <v>0</v>
      </c>
      <c r="BK31" s="47">
        <v>0</v>
      </c>
      <c r="BL31" s="47">
        <v>0</v>
      </c>
      <c r="BM31" s="47">
        <v>0</v>
      </c>
      <c r="BN31" s="37">
        <f t="shared" si="12"/>
        <v>0</v>
      </c>
      <c r="BO31" s="32">
        <f t="shared" ref="BO31:BQ33" si="72">BK31</f>
        <v>0</v>
      </c>
      <c r="BP31" s="32">
        <f t="shared" si="72"/>
        <v>0</v>
      </c>
      <c r="BQ31" s="33">
        <f t="shared" si="72"/>
        <v>0</v>
      </c>
      <c r="BR31" s="38">
        <f>BM31+BD31+AT31+AJ31+N31</f>
        <v>0</v>
      </c>
      <c r="BS31" s="33">
        <f>BQ31+BI31+AY31+AB31+AP31</f>
        <v>0</v>
      </c>
      <c r="BT31" s="39">
        <f t="shared" si="62"/>
        <v>14800</v>
      </c>
      <c r="BU31" s="40">
        <f t="shared" si="63"/>
        <v>25000</v>
      </c>
      <c r="BV31" s="85">
        <f t="shared" si="17"/>
        <v>-10200</v>
      </c>
      <c r="BW31" s="86" t="s">
        <v>90</v>
      </c>
      <c r="BX31" s="21" t="s">
        <v>99</v>
      </c>
    </row>
    <row r="32" spans="1:76" s="21" customFormat="1" ht="27.75" customHeight="1" thickBot="1" x14ac:dyDescent="0.25">
      <c r="A32" s="201">
        <v>2</v>
      </c>
      <c r="B32" s="137" t="s">
        <v>77</v>
      </c>
      <c r="C32" s="137" t="s">
        <v>48</v>
      </c>
      <c r="D32" s="138" t="s">
        <v>93</v>
      </c>
      <c r="E32" s="139">
        <v>7</v>
      </c>
      <c r="F32" s="190" t="s">
        <v>74</v>
      </c>
      <c r="G32" s="140">
        <v>5690405014</v>
      </c>
      <c r="H32" s="141" t="s">
        <v>92</v>
      </c>
      <c r="I32" s="142">
        <v>4018.41</v>
      </c>
      <c r="J32" s="168"/>
      <c r="K32" s="146">
        <f>L32+M32+O32+N32</f>
        <v>134382</v>
      </c>
      <c r="L32" s="143">
        <v>41000</v>
      </c>
      <c r="M32" s="143">
        <v>93382</v>
      </c>
      <c r="N32" s="143">
        <v>0</v>
      </c>
      <c r="O32" s="202">
        <v>0</v>
      </c>
      <c r="P32" s="144">
        <v>3522</v>
      </c>
      <c r="Q32" s="145">
        <v>6351</v>
      </c>
      <c r="R32" s="203">
        <v>93382000</v>
      </c>
      <c r="S32" s="146">
        <f t="shared" ref="S32" si="73">T32+U32+V32</f>
        <v>0</v>
      </c>
      <c r="T32" s="156">
        <v>0</v>
      </c>
      <c r="U32" s="156">
        <v>0</v>
      </c>
      <c r="V32" s="156">
        <v>0</v>
      </c>
      <c r="W32" s="156">
        <v>0</v>
      </c>
      <c r="X32" s="204" t="s">
        <v>44</v>
      </c>
      <c r="Y32" s="147">
        <f t="shared" ref="Y32" si="74">Z32+AA32+AB32</f>
        <v>134382</v>
      </c>
      <c r="Z32" s="148">
        <f t="shared" ref="Z32" si="75">L32+T32</f>
        <v>41000</v>
      </c>
      <c r="AA32" s="148">
        <f t="shared" ref="AA32" si="76">M32+U32</f>
        <v>93382</v>
      </c>
      <c r="AB32" s="148">
        <f t="shared" ref="AB32" si="77">N32+V32</f>
        <v>0</v>
      </c>
      <c r="AC32" s="148">
        <f t="shared" si="67"/>
        <v>0</v>
      </c>
      <c r="AD32" s="211" t="str">
        <f t="shared" ref="AD32" si="78">X32</f>
        <v>x</v>
      </c>
      <c r="AE32" s="150">
        <f t="shared" ref="AE32" si="79">AF32+AG32+AH32</f>
        <v>50000</v>
      </c>
      <c r="AF32" s="156">
        <v>0</v>
      </c>
      <c r="AG32" s="156">
        <v>50000</v>
      </c>
      <c r="AH32" s="156">
        <v>0</v>
      </c>
      <c r="AI32" s="156">
        <v>0</v>
      </c>
      <c r="AJ32" s="156">
        <v>0</v>
      </c>
      <c r="AK32" s="147">
        <f t="shared" ref="AK32" si="80">AL32+AM32</f>
        <v>90000</v>
      </c>
      <c r="AL32" s="148">
        <f>AF32+40000</f>
        <v>40000</v>
      </c>
      <c r="AM32" s="148">
        <f>AG32</f>
        <v>50000</v>
      </c>
      <c r="AN32" s="148">
        <f t="shared" ref="AN32" si="81">AH32</f>
        <v>0</v>
      </c>
      <c r="AO32" s="214">
        <v>0</v>
      </c>
      <c r="AP32" s="149">
        <f t="shared" ref="AP32" si="82">AJ32</f>
        <v>0</v>
      </c>
      <c r="AQ32" s="150">
        <f t="shared" ref="AQ32" si="83">AR32+AS32</f>
        <v>0</v>
      </c>
      <c r="AR32" s="156">
        <v>0</v>
      </c>
      <c r="AS32" s="156">
        <v>0</v>
      </c>
      <c r="AT32" s="156">
        <v>0</v>
      </c>
      <c r="AU32" s="147">
        <f t="shared" ref="AU32" si="84">AV32+AW32</f>
        <v>0</v>
      </c>
      <c r="AV32" s="148">
        <f t="shared" ref="AV32" si="85">AR32</f>
        <v>0</v>
      </c>
      <c r="AW32" s="148">
        <f t="shared" ref="AW32" si="86">AS32</f>
        <v>0</v>
      </c>
      <c r="AX32" s="148">
        <v>0</v>
      </c>
      <c r="AY32" s="149">
        <f t="shared" ref="AY32" si="87">AT32</f>
        <v>0</v>
      </c>
      <c r="AZ32" s="150">
        <f t="shared" ref="AZ32" si="88">BA32+BB32</f>
        <v>0</v>
      </c>
      <c r="BA32" s="156">
        <v>0</v>
      </c>
      <c r="BB32" s="156">
        <v>0</v>
      </c>
      <c r="BC32" s="156">
        <v>0</v>
      </c>
      <c r="BD32" s="156">
        <v>0</v>
      </c>
      <c r="BE32" s="205">
        <f t="shared" ref="BE32" si="89">BF32+BG32</f>
        <v>0</v>
      </c>
      <c r="BF32" s="148">
        <f t="shared" ref="BF32" si="90">BA32</f>
        <v>0</v>
      </c>
      <c r="BG32" s="148">
        <f t="shared" ref="BG32" si="91">BB32</f>
        <v>0</v>
      </c>
      <c r="BH32" s="148">
        <f t="shared" ref="BH32" si="92">BC32</f>
        <v>0</v>
      </c>
      <c r="BI32" s="149">
        <f t="shared" ref="BI32" si="93">BD32</f>
        <v>0</v>
      </c>
      <c r="BJ32" s="150">
        <f t="shared" ref="BJ32" si="94">BK32</f>
        <v>0</v>
      </c>
      <c r="BK32" s="156">
        <v>0</v>
      </c>
      <c r="BL32" s="156">
        <v>0</v>
      </c>
      <c r="BM32" s="156">
        <v>0</v>
      </c>
      <c r="BN32" s="151">
        <f t="shared" ref="BN32" si="95">BO32</f>
        <v>0</v>
      </c>
      <c r="BO32" s="148">
        <f t="shared" ref="BO32" si="96">BK32</f>
        <v>0</v>
      </c>
      <c r="BP32" s="148">
        <f t="shared" ref="BP32" si="97">BL32</f>
        <v>0</v>
      </c>
      <c r="BQ32" s="149">
        <f t="shared" ref="BQ32" si="98">BM32</f>
        <v>0</v>
      </c>
      <c r="BR32" s="152">
        <f>BM32+BD32+AT32+AJ32+N32</f>
        <v>0</v>
      </c>
      <c r="BS32" s="149">
        <f>BQ32+BI32+AY32+AB32+AP32</f>
        <v>0</v>
      </c>
      <c r="BT32" s="153">
        <f t="shared" ref="BT32" si="99">I32+K32+AE32+AQ32+AZ32+BJ32+BR32</f>
        <v>188400.41</v>
      </c>
      <c r="BU32" s="154">
        <f t="shared" ref="BU32" si="100">I32+Y32+AK32+AU32+BE32+BN32+BS32</f>
        <v>228400.41</v>
      </c>
      <c r="BV32" s="20">
        <f t="shared" ref="BV32" si="101">BT32-BU32</f>
        <v>-40000</v>
      </c>
      <c r="BW32" s="21" t="s">
        <v>90</v>
      </c>
      <c r="BX32" s="21" t="s">
        <v>99</v>
      </c>
    </row>
    <row r="33" spans="1:93" s="21" customFormat="1" ht="38.25" customHeight="1" thickTop="1" thickBot="1" x14ac:dyDescent="0.25">
      <c r="A33" s="115">
        <v>3</v>
      </c>
      <c r="B33" s="117" t="s">
        <v>113</v>
      </c>
      <c r="C33" s="117" t="s">
        <v>43</v>
      </c>
      <c r="D33" s="174" t="s">
        <v>93</v>
      </c>
      <c r="E33" s="100">
        <v>14</v>
      </c>
      <c r="F33" s="189" t="s">
        <v>112</v>
      </c>
      <c r="G33" s="110">
        <v>5737</v>
      </c>
      <c r="H33" s="84" t="s">
        <v>92</v>
      </c>
      <c r="I33" s="56">
        <v>8146.59</v>
      </c>
      <c r="J33" s="167"/>
      <c r="K33" s="57">
        <f>L33+M33+O33+N33</f>
        <v>153553.82</v>
      </c>
      <c r="L33" s="210">
        <v>0</v>
      </c>
      <c r="M33" s="210">
        <v>88514.85</v>
      </c>
      <c r="N33" s="210">
        <v>65000</v>
      </c>
      <c r="O33" s="210">
        <v>38.97</v>
      </c>
      <c r="P33" s="101">
        <v>4357</v>
      </c>
      <c r="Q33" s="102">
        <v>6121</v>
      </c>
      <c r="R33" s="175" t="s">
        <v>44</v>
      </c>
      <c r="S33" s="57">
        <f t="shared" si="16"/>
        <v>-37728</v>
      </c>
      <c r="T33" s="58">
        <v>0</v>
      </c>
      <c r="U33" s="58">
        <v>-2728</v>
      </c>
      <c r="V33" s="216">
        <v>-35000</v>
      </c>
      <c r="W33" s="210">
        <v>0</v>
      </c>
      <c r="X33" s="175" t="s">
        <v>44</v>
      </c>
      <c r="Y33" s="176">
        <f>Z33+AA33+AB33+AC33</f>
        <v>115825.82</v>
      </c>
      <c r="Z33" s="59">
        <f t="shared" si="67"/>
        <v>0</v>
      </c>
      <c r="AA33" s="59">
        <f t="shared" si="67"/>
        <v>85786.85</v>
      </c>
      <c r="AB33" s="59">
        <f t="shared" si="67"/>
        <v>30000</v>
      </c>
      <c r="AC33" s="217">
        <f t="shared" si="67"/>
        <v>38.97</v>
      </c>
      <c r="AD33" s="177" t="str">
        <f t="shared" si="18"/>
        <v>x</v>
      </c>
      <c r="AE33" s="61">
        <f t="shared" si="3"/>
        <v>205039</v>
      </c>
      <c r="AF33" s="47">
        <v>0</v>
      </c>
      <c r="AG33" s="47">
        <v>205039</v>
      </c>
      <c r="AH33" s="47">
        <v>0</v>
      </c>
      <c r="AI33" s="47">
        <v>0</v>
      </c>
      <c r="AJ33" s="47">
        <v>0</v>
      </c>
      <c r="AK33" s="107">
        <f>AL33+AM33+AP33</f>
        <v>169013</v>
      </c>
      <c r="AL33" s="54">
        <v>0</v>
      </c>
      <c r="AM33" s="54">
        <v>169013</v>
      </c>
      <c r="AN33" s="54">
        <f>AH33</f>
        <v>0</v>
      </c>
      <c r="AO33" s="209">
        <v>35000</v>
      </c>
      <c r="AP33" s="55">
        <v>0</v>
      </c>
      <c r="AQ33" s="61">
        <f t="shared" si="5"/>
        <v>0</v>
      </c>
      <c r="AR33" s="47">
        <v>0</v>
      </c>
      <c r="AS33" s="47">
        <v>0</v>
      </c>
      <c r="AT33" s="60">
        <v>0</v>
      </c>
      <c r="AU33" s="176">
        <f t="shared" si="6"/>
        <v>0</v>
      </c>
      <c r="AV33" s="59">
        <f t="shared" si="70"/>
        <v>0</v>
      </c>
      <c r="AW33" s="59">
        <f t="shared" si="70"/>
        <v>0</v>
      </c>
      <c r="AX33" s="59">
        <v>0</v>
      </c>
      <c r="AY33" s="62">
        <f t="shared" si="22"/>
        <v>0</v>
      </c>
      <c r="AZ33" s="61">
        <f t="shared" si="8"/>
        <v>0</v>
      </c>
      <c r="BA33" s="47">
        <v>0</v>
      </c>
      <c r="BB33" s="47">
        <v>0</v>
      </c>
      <c r="BC33" s="47">
        <v>0</v>
      </c>
      <c r="BD33" s="47">
        <v>0</v>
      </c>
      <c r="BE33" s="178">
        <f t="shared" si="9"/>
        <v>0</v>
      </c>
      <c r="BF33" s="59">
        <f t="shared" si="71"/>
        <v>0</v>
      </c>
      <c r="BG33" s="59">
        <f t="shared" si="71"/>
        <v>0</v>
      </c>
      <c r="BH33" s="59">
        <f t="shared" si="71"/>
        <v>0</v>
      </c>
      <c r="BI33" s="62">
        <f t="shared" si="71"/>
        <v>0</v>
      </c>
      <c r="BJ33" s="61">
        <f t="shared" si="11"/>
        <v>0</v>
      </c>
      <c r="BK33" s="47">
        <v>0</v>
      </c>
      <c r="BL33" s="47">
        <v>0</v>
      </c>
      <c r="BM33" s="47">
        <v>0</v>
      </c>
      <c r="BN33" s="63">
        <f t="shared" si="12"/>
        <v>0</v>
      </c>
      <c r="BO33" s="59">
        <f t="shared" si="72"/>
        <v>0</v>
      </c>
      <c r="BP33" s="59">
        <f t="shared" si="72"/>
        <v>0</v>
      </c>
      <c r="BQ33" s="62">
        <f t="shared" si="72"/>
        <v>0</v>
      </c>
      <c r="BR33" s="179">
        <f>BM33+BD33+AT33+AJ33+N33</f>
        <v>65000</v>
      </c>
      <c r="BS33" s="62">
        <f>BQ33+BI33+AY33+AB33+AP33</f>
        <v>30000</v>
      </c>
      <c r="BT33" s="64">
        <f>I33+K33+AE33+AQ33+AZ33+BJ33</f>
        <v>366739.41000000003</v>
      </c>
      <c r="BU33" s="65">
        <f>I33+Y33+AK33+AU33+BE33+BN33</f>
        <v>292985.41000000003</v>
      </c>
      <c r="BV33" s="85">
        <f t="shared" si="17"/>
        <v>73754</v>
      </c>
      <c r="BW33" s="86" t="s">
        <v>90</v>
      </c>
      <c r="BX33" s="21" t="s">
        <v>99</v>
      </c>
      <c r="BZ33" s="20">
        <f>BU33-BT33</f>
        <v>-73754</v>
      </c>
    </row>
    <row r="34" spans="1:93" s="7" customFormat="1" ht="50.25" customHeight="1" thickBot="1" x14ac:dyDescent="0.3">
      <c r="A34" s="324" t="s">
        <v>56</v>
      </c>
      <c r="B34" s="325"/>
      <c r="C34" s="325"/>
      <c r="D34" s="325"/>
      <c r="E34" s="325"/>
      <c r="F34" s="325"/>
      <c r="G34" s="325"/>
      <c r="H34" s="325"/>
      <c r="I34" s="325"/>
      <c r="J34" s="325"/>
      <c r="K34" s="180">
        <f>SUM(K7:K33)</f>
        <v>843455.3600000001</v>
      </c>
      <c r="L34" s="181">
        <f>SUM(L7:L33)</f>
        <v>274528.89</v>
      </c>
      <c r="M34" s="181">
        <f>SUM(M7:M33)</f>
        <v>503887.5</v>
      </c>
      <c r="N34" s="181">
        <f>SUM(N7:N33)</f>
        <v>65000</v>
      </c>
      <c r="O34" s="181">
        <f>SUM(O7:O33)</f>
        <v>38.97</v>
      </c>
      <c r="P34" s="182" t="s">
        <v>44</v>
      </c>
      <c r="Q34" s="182" t="s">
        <v>44</v>
      </c>
      <c r="R34" s="183">
        <f t="shared" ref="R34:BU34" si="102">SUM(R7:R33)</f>
        <v>367844212</v>
      </c>
      <c r="S34" s="180">
        <f t="shared" si="102"/>
        <v>-357028</v>
      </c>
      <c r="T34" s="181">
        <f t="shared" si="102"/>
        <v>-109800</v>
      </c>
      <c r="U34" s="181">
        <f>SUM(U7:U33)</f>
        <v>-212228</v>
      </c>
      <c r="V34" s="181">
        <f t="shared" si="102"/>
        <v>-35000</v>
      </c>
      <c r="W34" s="181">
        <f t="shared" si="102"/>
        <v>0</v>
      </c>
      <c r="X34" s="184">
        <f t="shared" si="102"/>
        <v>-148600000</v>
      </c>
      <c r="Y34" s="180">
        <f t="shared" si="102"/>
        <v>486427.36</v>
      </c>
      <c r="Z34" s="181">
        <f t="shared" si="102"/>
        <v>164728.89000000001</v>
      </c>
      <c r="AA34" s="181">
        <f t="shared" si="102"/>
        <v>291659.5</v>
      </c>
      <c r="AB34" s="181">
        <f t="shared" si="102"/>
        <v>30000</v>
      </c>
      <c r="AC34" s="181">
        <f t="shared" si="102"/>
        <v>38.97</v>
      </c>
      <c r="AD34" s="184">
        <f t="shared" si="102"/>
        <v>-148600000</v>
      </c>
      <c r="AE34" s="180">
        <f t="shared" si="102"/>
        <v>843788</v>
      </c>
      <c r="AF34" s="181">
        <f t="shared" si="102"/>
        <v>146449</v>
      </c>
      <c r="AG34" s="181">
        <f t="shared" si="102"/>
        <v>612645</v>
      </c>
      <c r="AH34" s="181">
        <f t="shared" si="102"/>
        <v>46900</v>
      </c>
      <c r="AI34" s="181">
        <f t="shared" si="102"/>
        <v>37794</v>
      </c>
      <c r="AJ34" s="184">
        <f t="shared" si="102"/>
        <v>50000</v>
      </c>
      <c r="AK34" s="180">
        <f t="shared" si="102"/>
        <v>1224462</v>
      </c>
      <c r="AL34" s="181">
        <f t="shared" si="102"/>
        <v>360449</v>
      </c>
      <c r="AM34" s="181">
        <f t="shared" si="102"/>
        <v>786119</v>
      </c>
      <c r="AN34" s="181">
        <f t="shared" si="102"/>
        <v>40100</v>
      </c>
      <c r="AO34" s="181">
        <f>SUM(AO7:AO33)</f>
        <v>72794</v>
      </c>
      <c r="AP34" s="184">
        <f t="shared" si="102"/>
        <v>0</v>
      </c>
      <c r="AQ34" s="180">
        <f t="shared" si="102"/>
        <v>93100</v>
      </c>
      <c r="AR34" s="181">
        <f t="shared" si="102"/>
        <v>41592.5</v>
      </c>
      <c r="AS34" s="181">
        <f t="shared" si="102"/>
        <v>51507.5</v>
      </c>
      <c r="AT34" s="184">
        <f t="shared" si="102"/>
        <v>185000</v>
      </c>
      <c r="AU34" s="180">
        <f t="shared" si="102"/>
        <v>166139</v>
      </c>
      <c r="AV34" s="181">
        <f t="shared" si="102"/>
        <v>107831.5</v>
      </c>
      <c r="AW34" s="181">
        <f t="shared" si="102"/>
        <v>51507.5</v>
      </c>
      <c r="AX34" s="181">
        <f t="shared" si="102"/>
        <v>6800</v>
      </c>
      <c r="AY34" s="184">
        <f t="shared" si="102"/>
        <v>295000</v>
      </c>
      <c r="AZ34" s="180">
        <f t="shared" si="102"/>
        <v>15000</v>
      </c>
      <c r="BA34" s="181">
        <f t="shared" si="102"/>
        <v>15000</v>
      </c>
      <c r="BB34" s="181">
        <f t="shared" si="102"/>
        <v>0</v>
      </c>
      <c r="BC34" s="181">
        <f t="shared" si="102"/>
        <v>0</v>
      </c>
      <c r="BD34" s="184">
        <f t="shared" si="102"/>
        <v>109022</v>
      </c>
      <c r="BE34" s="180">
        <f t="shared" si="102"/>
        <v>15000</v>
      </c>
      <c r="BF34" s="181">
        <f t="shared" si="102"/>
        <v>15000</v>
      </c>
      <c r="BG34" s="181">
        <f t="shared" si="102"/>
        <v>0</v>
      </c>
      <c r="BH34" s="181">
        <f t="shared" si="102"/>
        <v>0</v>
      </c>
      <c r="BI34" s="184">
        <f t="shared" si="102"/>
        <v>280022</v>
      </c>
      <c r="BJ34" s="180">
        <f t="shared" si="102"/>
        <v>0</v>
      </c>
      <c r="BK34" s="181">
        <f t="shared" si="102"/>
        <v>0</v>
      </c>
      <c r="BL34" s="181">
        <f t="shared" si="102"/>
        <v>0</v>
      </c>
      <c r="BM34" s="184">
        <f t="shared" si="102"/>
        <v>0</v>
      </c>
      <c r="BN34" s="180">
        <f t="shared" si="102"/>
        <v>0</v>
      </c>
      <c r="BO34" s="181">
        <f t="shared" si="102"/>
        <v>0</v>
      </c>
      <c r="BP34" s="181">
        <f t="shared" si="102"/>
        <v>0</v>
      </c>
      <c r="BQ34" s="184">
        <f t="shared" si="102"/>
        <v>0</v>
      </c>
      <c r="BR34" s="180">
        <f t="shared" si="102"/>
        <v>447116</v>
      </c>
      <c r="BS34" s="184">
        <f t="shared" si="102"/>
        <v>643116</v>
      </c>
      <c r="BT34" s="180">
        <f t="shared" si="102"/>
        <v>2178647.6350000002</v>
      </c>
      <c r="BU34" s="184">
        <f t="shared" si="102"/>
        <v>2506332.6350000002</v>
      </c>
      <c r="BV34" s="85">
        <f>BT34-BU34</f>
        <v>-327685</v>
      </c>
      <c r="BW34" s="88" t="s">
        <v>110</v>
      </c>
    </row>
    <row r="35" spans="1:93" s="68" customFormat="1" x14ac:dyDescent="0.25">
      <c r="A35" s="97" t="s">
        <v>61</v>
      </c>
      <c r="B35" s="97"/>
      <c r="C35" s="97"/>
      <c r="D35" s="98"/>
      <c r="E35" s="98"/>
      <c r="F35" s="98"/>
      <c r="G35" s="98"/>
      <c r="H35" s="98"/>
      <c r="I35" s="194"/>
      <c r="J35" s="94"/>
      <c r="K35" s="169" t="s">
        <v>57</v>
      </c>
      <c r="L35" s="169"/>
      <c r="M35" s="169"/>
      <c r="N35" s="169"/>
      <c r="O35" s="169"/>
      <c r="P35" s="170"/>
      <c r="Q35" s="170"/>
      <c r="R35" s="170"/>
      <c r="S35" s="69">
        <f>SUM(S7:S33)</f>
        <v>-357028</v>
      </c>
      <c r="T35" s="70"/>
      <c r="U35" s="70"/>
      <c r="V35" s="71"/>
      <c r="W35" s="72"/>
      <c r="X35" s="67"/>
      <c r="Y35"/>
      <c r="Z35"/>
      <c r="AA35"/>
      <c r="AB35"/>
      <c r="AC35"/>
      <c r="AD35"/>
      <c r="AE35"/>
      <c r="AF35"/>
      <c r="AG35"/>
      <c r="AH35"/>
      <c r="AI35"/>
      <c r="AJ35"/>
      <c r="AK35" s="73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 s="312"/>
      <c r="BS35" s="313"/>
      <c r="BT35"/>
      <c r="BU35" s="73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</row>
    <row r="36" spans="1:93" s="68" customFormat="1" ht="30" customHeight="1" x14ac:dyDescent="0.25">
      <c r="A36" s="341" t="s">
        <v>104</v>
      </c>
      <c r="B36" s="342"/>
      <c r="C36" s="342"/>
      <c r="D36" s="342"/>
      <c r="E36" s="342"/>
      <c r="F36" s="342"/>
      <c r="G36" s="342"/>
      <c r="H36" s="342"/>
      <c r="I36" s="343"/>
      <c r="J36" s="95"/>
      <c r="K36" s="89" t="s">
        <v>58</v>
      </c>
      <c r="L36" s="344" t="s">
        <v>59</v>
      </c>
      <c r="M36" s="345"/>
      <c r="N36" s="345"/>
      <c r="O36" s="345"/>
      <c r="P36" s="345"/>
      <c r="Q36" s="345"/>
      <c r="R36" s="345"/>
      <c r="S36" s="74"/>
      <c r="T36" s="75">
        <f>SUM(T7:T33)</f>
        <v>-109800</v>
      </c>
      <c r="U36" s="75"/>
      <c r="V36" s="76"/>
      <c r="W36" s="77"/>
      <c r="X36" s="67"/>
      <c r="Y36"/>
      <c r="Z36"/>
      <c r="AA36"/>
      <c r="AB36"/>
      <c r="AC36"/>
      <c r="AD36"/>
      <c r="AE36"/>
      <c r="AF36" s="3"/>
      <c r="AG36" s="3"/>
      <c r="AH36" s="3"/>
      <c r="AI36" s="3"/>
      <c r="AJ36" s="3"/>
      <c r="AK36" s="3"/>
      <c r="AL36" s="3"/>
      <c r="AM36" s="218"/>
      <c r="AN36" s="3"/>
      <c r="AO36" s="3"/>
      <c r="AP36" s="3"/>
      <c r="AQ36" s="3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93" s="68" customFormat="1" ht="34.5" customHeight="1" thickBot="1" x14ac:dyDescent="0.3">
      <c r="A37" s="195" t="s">
        <v>103</v>
      </c>
      <c r="B37" s="196"/>
      <c r="C37" s="196"/>
      <c r="D37" s="196"/>
      <c r="E37" s="196"/>
      <c r="F37" s="196"/>
      <c r="G37" s="196"/>
      <c r="H37" s="196"/>
      <c r="I37" s="197"/>
      <c r="J37" s="95"/>
      <c r="K37" s="89" t="s">
        <v>58</v>
      </c>
      <c r="L37" s="334" t="s">
        <v>60</v>
      </c>
      <c r="M37" s="335"/>
      <c r="N37" s="335"/>
      <c r="O37" s="335"/>
      <c r="P37" s="335"/>
      <c r="Q37" s="335"/>
      <c r="R37" s="336"/>
      <c r="S37" s="78"/>
      <c r="T37" s="79"/>
      <c r="U37" s="340">
        <f>SUM(U7:U33)</f>
        <v>-212228</v>
      </c>
      <c r="V37" s="340">
        <f>SUM(V7:V33)</f>
        <v>-35000</v>
      </c>
      <c r="W37" s="75"/>
      <c r="X37" s="67"/>
      <c r="Y37" s="80"/>
      <c r="Z37" s="67"/>
      <c r="AA37" s="67"/>
      <c r="AB37" s="67"/>
      <c r="AC37" s="67"/>
      <c r="AD37" s="67"/>
      <c r="AE37" s="81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93" s="68" customFormat="1" ht="34.5" customHeight="1" thickBot="1" x14ac:dyDescent="0.3">
      <c r="A38" s="195" t="s">
        <v>111</v>
      </c>
      <c r="B38" s="196"/>
      <c r="C38" s="196"/>
      <c r="D38" s="196"/>
      <c r="E38" s="196"/>
      <c r="F38" s="196"/>
      <c r="G38" s="196"/>
      <c r="H38" s="196"/>
      <c r="I38" s="197"/>
      <c r="J38" s="95"/>
      <c r="K38" s="89" t="s">
        <v>58</v>
      </c>
      <c r="L38" s="337"/>
      <c r="M38" s="338"/>
      <c r="N38" s="338"/>
      <c r="O38" s="338"/>
      <c r="P38" s="338"/>
      <c r="Q38" s="338"/>
      <c r="R38" s="339"/>
      <c r="S38" s="78"/>
      <c r="T38" s="79"/>
      <c r="U38" s="340"/>
      <c r="V38" s="340"/>
      <c r="W38" s="75"/>
      <c r="X38" s="67"/>
      <c r="Y38" s="80"/>
      <c r="Z38" s="67"/>
      <c r="AA38" s="67"/>
      <c r="AB38" s="67"/>
      <c r="AC38" s="67"/>
      <c r="AD38" s="67"/>
      <c r="AE38" s="81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93" x14ac:dyDescent="0.25">
      <c r="G39"/>
      <c r="H39"/>
      <c r="I39"/>
      <c r="J39"/>
      <c r="K39"/>
      <c r="P39"/>
      <c r="Q39"/>
      <c r="R39"/>
      <c r="S39" s="73"/>
      <c r="Y39"/>
      <c r="AE39"/>
      <c r="AF39"/>
      <c r="AG39"/>
      <c r="AK39"/>
      <c r="AQ39"/>
      <c r="AU39"/>
      <c r="AZ39"/>
      <c r="BA39" s="68"/>
      <c r="BE39"/>
      <c r="BJ39"/>
      <c r="BN39"/>
      <c r="BU39"/>
    </row>
    <row r="40" spans="1:93" x14ac:dyDescent="0.25">
      <c r="G40"/>
      <c r="H40"/>
      <c r="I40"/>
      <c r="J40"/>
      <c r="K40"/>
      <c r="P40"/>
      <c r="Q40"/>
      <c r="R40"/>
      <c r="S40"/>
      <c r="Y40"/>
      <c r="AE40"/>
      <c r="AF40"/>
      <c r="AG40"/>
      <c r="AK40"/>
      <c r="AQ40"/>
      <c r="AU40"/>
      <c r="AZ40"/>
      <c r="BA40" s="68"/>
      <c r="BE40"/>
      <c r="BJ40"/>
      <c r="BN40"/>
      <c r="BU40"/>
    </row>
    <row r="41" spans="1:93" x14ac:dyDescent="0.25">
      <c r="G41"/>
      <c r="H41"/>
      <c r="I41"/>
      <c r="J41"/>
      <c r="K41"/>
      <c r="P41"/>
      <c r="Q41"/>
      <c r="R41"/>
      <c r="S41" s="73"/>
      <c r="T41" s="73"/>
      <c r="Y41"/>
      <c r="AE41"/>
      <c r="AF41"/>
      <c r="AG41"/>
      <c r="AK41"/>
      <c r="AQ41"/>
      <c r="AU41"/>
      <c r="AZ41"/>
      <c r="BA41" s="68"/>
      <c r="BE41"/>
      <c r="BJ41"/>
      <c r="BN41"/>
      <c r="BU41"/>
    </row>
    <row r="42" spans="1:93" x14ac:dyDescent="0.25">
      <c r="G42"/>
      <c r="H42"/>
      <c r="I42"/>
      <c r="J42"/>
      <c r="K42"/>
      <c r="P42"/>
      <c r="Q42"/>
      <c r="R42"/>
      <c r="S42"/>
      <c r="U42" s="73"/>
      <c r="X42" s="73"/>
      <c r="Y42"/>
      <c r="AE42"/>
      <c r="AF42"/>
      <c r="AG42"/>
      <c r="AK42"/>
      <c r="AQ42"/>
      <c r="AU42"/>
      <c r="AZ42"/>
      <c r="BA42" s="68"/>
      <c r="BE42"/>
      <c r="BJ42"/>
      <c r="BN42"/>
      <c r="BU42"/>
    </row>
    <row r="43" spans="1:93" x14ac:dyDescent="0.25">
      <c r="G43"/>
      <c r="H43"/>
      <c r="I43"/>
      <c r="J43"/>
      <c r="K43"/>
      <c r="P43"/>
      <c r="Q43"/>
      <c r="R43"/>
      <c r="S43"/>
      <c r="Y43"/>
      <c r="AE43"/>
      <c r="AF43"/>
      <c r="AG43"/>
      <c r="AK43"/>
      <c r="AQ43"/>
      <c r="AU43"/>
      <c r="AZ43"/>
      <c r="BA43" s="68"/>
      <c r="BE43"/>
      <c r="BJ43"/>
      <c r="BN43"/>
      <c r="BU43"/>
    </row>
    <row r="44" spans="1:93" x14ac:dyDescent="0.25">
      <c r="G44"/>
      <c r="H44"/>
      <c r="I44"/>
      <c r="J44"/>
      <c r="K44"/>
      <c r="P44"/>
      <c r="Q44"/>
      <c r="R44"/>
      <c r="S44"/>
      <c r="Y44"/>
      <c r="AE44"/>
      <c r="AF44"/>
      <c r="AG44"/>
      <c r="AK44"/>
      <c r="AQ44"/>
      <c r="AU44"/>
      <c r="AZ44"/>
      <c r="BA44" s="68"/>
      <c r="BE44"/>
      <c r="BJ44"/>
      <c r="BN44"/>
      <c r="BU44"/>
    </row>
    <row r="45" spans="1:93" x14ac:dyDescent="0.25">
      <c r="G45"/>
      <c r="H45"/>
      <c r="I45"/>
      <c r="J45"/>
      <c r="K45"/>
      <c r="P45"/>
      <c r="Q45"/>
      <c r="R45"/>
      <c r="S45"/>
      <c r="Y45"/>
      <c r="AE45"/>
      <c r="AF45"/>
      <c r="AG45"/>
      <c r="AK45"/>
      <c r="AQ45"/>
      <c r="AU45"/>
      <c r="AZ45"/>
      <c r="BA45" s="68"/>
      <c r="BE45"/>
      <c r="BJ45"/>
      <c r="BN45"/>
      <c r="BU45"/>
    </row>
    <row r="46" spans="1:93" x14ac:dyDescent="0.25">
      <c r="G46"/>
      <c r="H46"/>
      <c r="I46"/>
      <c r="J46"/>
      <c r="K46"/>
      <c r="P46"/>
      <c r="Q46"/>
      <c r="R46"/>
      <c r="S46"/>
      <c r="Y46"/>
      <c r="AE46"/>
      <c r="AF46"/>
      <c r="AG46"/>
      <c r="AK46"/>
      <c r="AQ46"/>
      <c r="AU46"/>
      <c r="AZ46"/>
      <c r="BA46" s="68"/>
      <c r="BE46"/>
      <c r="BJ46"/>
      <c r="BN46"/>
      <c r="BU46"/>
    </row>
    <row r="47" spans="1:93" x14ac:dyDescent="0.25">
      <c r="G47"/>
      <c r="H47"/>
      <c r="I47"/>
      <c r="J47"/>
      <c r="K47"/>
      <c r="P47"/>
      <c r="Q47"/>
      <c r="R47"/>
      <c r="S47"/>
      <c r="Y47"/>
      <c r="AE47"/>
      <c r="AF47"/>
      <c r="AG47"/>
      <c r="AK47"/>
      <c r="AQ47"/>
      <c r="AU47"/>
      <c r="AZ47"/>
      <c r="BA47" s="68"/>
      <c r="BE47"/>
      <c r="BJ47"/>
      <c r="BN47"/>
      <c r="BU47"/>
    </row>
    <row r="48" spans="1:93" x14ac:dyDescent="0.25">
      <c r="G48"/>
      <c r="H48"/>
      <c r="I48"/>
      <c r="J48"/>
      <c r="K48"/>
      <c r="P48"/>
      <c r="Q48"/>
      <c r="R48"/>
      <c r="S48"/>
      <c r="Y48"/>
      <c r="AE48"/>
      <c r="AF48"/>
      <c r="AG48"/>
      <c r="AK48"/>
      <c r="AQ48"/>
      <c r="AU48"/>
      <c r="AZ48"/>
      <c r="BA48" s="68"/>
      <c r="BE48"/>
      <c r="BJ48"/>
      <c r="BN48"/>
      <c r="BU48"/>
    </row>
    <row r="49" spans="7:73" x14ac:dyDescent="0.25">
      <c r="G49"/>
      <c r="H49"/>
      <c r="I49"/>
      <c r="J49"/>
      <c r="K49"/>
      <c r="P49"/>
      <c r="Q49"/>
      <c r="R49"/>
      <c r="S49"/>
      <c r="Y49"/>
      <c r="AE49"/>
      <c r="AF49"/>
      <c r="AG49"/>
      <c r="AK49"/>
      <c r="AQ49"/>
      <c r="AU49"/>
      <c r="AZ49"/>
      <c r="BA49" s="68"/>
      <c r="BE49"/>
      <c r="BJ49"/>
      <c r="BN49"/>
      <c r="BU49"/>
    </row>
    <row r="50" spans="7:73" x14ac:dyDescent="0.25">
      <c r="BA50" s="68"/>
    </row>
    <row r="51" spans="7:73" x14ac:dyDescent="0.25">
      <c r="G51"/>
      <c r="H51"/>
      <c r="I51"/>
      <c r="J51"/>
      <c r="K51"/>
      <c r="P51"/>
      <c r="Q51"/>
      <c r="R51"/>
      <c r="S51"/>
      <c r="Y51"/>
      <c r="AE51"/>
      <c r="AF51"/>
      <c r="AG51"/>
      <c r="AK51"/>
      <c r="AQ51"/>
      <c r="AU51"/>
      <c r="AZ51"/>
      <c r="BA51" s="68"/>
      <c r="BE51"/>
      <c r="BJ51"/>
      <c r="BN51"/>
      <c r="BU51"/>
    </row>
    <row r="52" spans="7:73" x14ac:dyDescent="0.25">
      <c r="G52"/>
      <c r="H52"/>
      <c r="I52"/>
      <c r="J52"/>
      <c r="K52"/>
      <c r="P52"/>
      <c r="Q52"/>
      <c r="R52"/>
      <c r="S52"/>
      <c r="Y52"/>
      <c r="AE52"/>
      <c r="AF52"/>
      <c r="AG52"/>
      <c r="AK52"/>
      <c r="AQ52"/>
      <c r="AU52"/>
      <c r="AZ52"/>
      <c r="BA52" s="68"/>
      <c r="BE52"/>
      <c r="BJ52"/>
      <c r="BN52"/>
      <c r="BU52"/>
    </row>
    <row r="53" spans="7:73" x14ac:dyDescent="0.25">
      <c r="G53"/>
      <c r="H53"/>
      <c r="I53"/>
      <c r="J53"/>
      <c r="K53"/>
      <c r="P53"/>
      <c r="Q53"/>
      <c r="R53"/>
      <c r="S53"/>
      <c r="Y53"/>
      <c r="AE53"/>
      <c r="AF53"/>
      <c r="AG53"/>
      <c r="AK53"/>
      <c r="AQ53"/>
      <c r="AU53"/>
      <c r="AZ53"/>
      <c r="BA53" s="68"/>
      <c r="BE53"/>
      <c r="BJ53"/>
      <c r="BN53"/>
      <c r="BU53"/>
    </row>
    <row r="54" spans="7:73" x14ac:dyDescent="0.25">
      <c r="G54"/>
      <c r="H54"/>
      <c r="I54"/>
      <c r="J54"/>
      <c r="K54"/>
      <c r="P54"/>
      <c r="Q54"/>
      <c r="R54"/>
      <c r="S54"/>
      <c r="Y54"/>
      <c r="AE54"/>
      <c r="AF54"/>
      <c r="AG54"/>
      <c r="AK54"/>
      <c r="AQ54"/>
      <c r="AU54"/>
      <c r="AZ54"/>
      <c r="BA54" s="68"/>
      <c r="BE54"/>
      <c r="BJ54"/>
      <c r="BN54"/>
      <c r="BU54"/>
    </row>
    <row r="55" spans="7:73" x14ac:dyDescent="0.25">
      <c r="G55"/>
      <c r="H55"/>
      <c r="I55"/>
      <c r="J55"/>
      <c r="K55"/>
      <c r="P55"/>
      <c r="Q55"/>
      <c r="R55"/>
      <c r="S55"/>
      <c r="Y55"/>
      <c r="AE55"/>
      <c r="AF55"/>
      <c r="AG55"/>
      <c r="AK55"/>
      <c r="AQ55"/>
      <c r="AU55"/>
      <c r="AZ55"/>
      <c r="BA55" s="68"/>
      <c r="BE55"/>
      <c r="BJ55"/>
      <c r="BN55"/>
      <c r="BU55"/>
    </row>
    <row r="56" spans="7:73" x14ac:dyDescent="0.25">
      <c r="G56"/>
      <c r="H56"/>
      <c r="I56"/>
      <c r="J56"/>
      <c r="K56"/>
      <c r="P56"/>
      <c r="Q56"/>
      <c r="R56"/>
      <c r="S56"/>
      <c r="Y56"/>
      <c r="AE56"/>
      <c r="AF56"/>
      <c r="AG56"/>
      <c r="AK56"/>
      <c r="AQ56"/>
      <c r="AU56"/>
      <c r="AZ56"/>
      <c r="BA56" s="68"/>
      <c r="BE56"/>
      <c r="BJ56"/>
      <c r="BN56"/>
      <c r="BU56"/>
    </row>
    <row r="57" spans="7:73" x14ac:dyDescent="0.25">
      <c r="G57"/>
      <c r="H57"/>
      <c r="I57"/>
      <c r="J57"/>
      <c r="K57"/>
      <c r="P57"/>
      <c r="Q57"/>
      <c r="R57"/>
      <c r="S57"/>
      <c r="Y57"/>
      <c r="AE57"/>
      <c r="AF57"/>
      <c r="AG57"/>
      <c r="AK57"/>
      <c r="AQ57"/>
      <c r="AU57"/>
      <c r="AZ57"/>
      <c r="BA57" s="68"/>
      <c r="BE57"/>
      <c r="BJ57"/>
      <c r="BN57"/>
      <c r="BU57"/>
    </row>
    <row r="58" spans="7:73" x14ac:dyDescent="0.25">
      <c r="G58"/>
      <c r="H58"/>
      <c r="I58"/>
      <c r="J58"/>
      <c r="K58"/>
      <c r="P58"/>
      <c r="Q58"/>
      <c r="R58"/>
      <c r="S58"/>
      <c r="Y58"/>
      <c r="AE58"/>
      <c r="AF58"/>
      <c r="AG58"/>
      <c r="AK58"/>
      <c r="AQ58"/>
      <c r="AU58"/>
      <c r="AZ58"/>
      <c r="BA58" s="68"/>
      <c r="BE58"/>
      <c r="BJ58"/>
      <c r="BN58"/>
      <c r="BU58"/>
    </row>
    <row r="59" spans="7:73" x14ac:dyDescent="0.25">
      <c r="G59"/>
      <c r="H59"/>
      <c r="I59"/>
      <c r="J59"/>
      <c r="K59"/>
      <c r="P59"/>
      <c r="Q59"/>
      <c r="R59"/>
      <c r="S59"/>
      <c r="Y59"/>
      <c r="AE59"/>
      <c r="AF59"/>
      <c r="AG59"/>
      <c r="AK59"/>
      <c r="AQ59"/>
      <c r="AU59"/>
      <c r="AZ59"/>
      <c r="BA59" s="68"/>
      <c r="BE59"/>
      <c r="BJ59"/>
      <c r="BN59"/>
      <c r="BU59"/>
    </row>
    <row r="60" spans="7:73" x14ac:dyDescent="0.25">
      <c r="G60"/>
      <c r="H60"/>
      <c r="I60"/>
      <c r="J60"/>
      <c r="K60"/>
      <c r="P60"/>
      <c r="Q60"/>
      <c r="R60"/>
      <c r="S60"/>
      <c r="Y60"/>
      <c r="AE60"/>
      <c r="AF60"/>
      <c r="AG60"/>
      <c r="AK60"/>
      <c r="AQ60"/>
      <c r="AU60"/>
      <c r="AZ60"/>
      <c r="BA60" s="68"/>
      <c r="BE60"/>
      <c r="BJ60"/>
      <c r="BN60"/>
      <c r="BU60"/>
    </row>
    <row r="61" spans="7:73" x14ac:dyDescent="0.25">
      <c r="G61"/>
      <c r="H61"/>
      <c r="I61"/>
      <c r="J61"/>
      <c r="K61"/>
      <c r="P61"/>
      <c r="Q61"/>
      <c r="R61"/>
      <c r="S61"/>
      <c r="Y61"/>
      <c r="AE61"/>
      <c r="AF61"/>
      <c r="AG61"/>
      <c r="AK61"/>
      <c r="AQ61"/>
      <c r="AU61"/>
      <c r="AZ61"/>
      <c r="BA61" s="68"/>
      <c r="BE61"/>
      <c r="BJ61"/>
      <c r="BN61"/>
      <c r="BU61"/>
    </row>
    <row r="62" spans="7:73" x14ac:dyDescent="0.25">
      <c r="G62"/>
      <c r="H62"/>
      <c r="I62"/>
      <c r="J62"/>
      <c r="K62"/>
      <c r="P62"/>
      <c r="Q62"/>
      <c r="R62"/>
      <c r="S62"/>
      <c r="Y62"/>
      <c r="AE62"/>
      <c r="AF62"/>
      <c r="AG62"/>
      <c r="AK62"/>
      <c r="AQ62"/>
      <c r="AU62"/>
      <c r="AZ62"/>
      <c r="BA62" s="68"/>
      <c r="BE62"/>
      <c r="BJ62"/>
      <c r="BN62"/>
      <c r="BU62"/>
    </row>
    <row r="63" spans="7:73" x14ac:dyDescent="0.25">
      <c r="G63"/>
      <c r="H63"/>
      <c r="I63"/>
      <c r="J63"/>
      <c r="K63"/>
      <c r="P63"/>
      <c r="Q63"/>
      <c r="R63"/>
      <c r="S63"/>
      <c r="Y63"/>
      <c r="AE63"/>
      <c r="AF63"/>
      <c r="AG63"/>
      <c r="AK63"/>
      <c r="AQ63"/>
      <c r="AU63"/>
      <c r="AZ63"/>
      <c r="BA63" s="68"/>
      <c r="BE63"/>
      <c r="BJ63"/>
      <c r="BN63"/>
      <c r="BU63"/>
    </row>
    <row r="64" spans="7:73" x14ac:dyDescent="0.25">
      <c r="G64"/>
      <c r="H64"/>
      <c r="I64"/>
      <c r="J64"/>
      <c r="K64"/>
      <c r="P64"/>
      <c r="Q64"/>
      <c r="R64"/>
      <c r="S64"/>
      <c r="Y64"/>
      <c r="AE64"/>
      <c r="AF64"/>
      <c r="AG64"/>
      <c r="AK64"/>
      <c r="AQ64"/>
      <c r="AU64"/>
      <c r="AZ64"/>
      <c r="BA64" s="68"/>
      <c r="BE64"/>
      <c r="BJ64"/>
      <c r="BN64"/>
      <c r="BU64"/>
    </row>
    <row r="65" spans="7:73" x14ac:dyDescent="0.25">
      <c r="G65"/>
      <c r="H65"/>
      <c r="I65"/>
      <c r="J65"/>
      <c r="K65"/>
      <c r="P65"/>
      <c r="Q65"/>
      <c r="R65"/>
      <c r="S65"/>
      <c r="Y65"/>
      <c r="AE65"/>
      <c r="AF65"/>
      <c r="AG65"/>
      <c r="AK65"/>
      <c r="AQ65"/>
      <c r="AU65"/>
      <c r="AZ65"/>
      <c r="BA65" s="68"/>
      <c r="BE65"/>
      <c r="BJ65"/>
      <c r="BN65"/>
      <c r="BU65"/>
    </row>
    <row r="66" spans="7:73" x14ac:dyDescent="0.25">
      <c r="G66"/>
      <c r="H66"/>
      <c r="I66"/>
      <c r="J66"/>
      <c r="K66"/>
      <c r="P66"/>
      <c r="Q66"/>
      <c r="R66"/>
      <c r="S66"/>
      <c r="Y66"/>
      <c r="AE66"/>
      <c r="AF66"/>
      <c r="AG66"/>
      <c r="AK66"/>
      <c r="AQ66"/>
      <c r="AU66"/>
      <c r="AZ66"/>
      <c r="BA66" s="68"/>
      <c r="BE66"/>
      <c r="BJ66"/>
      <c r="BN66"/>
      <c r="BU66"/>
    </row>
    <row r="67" spans="7:73" x14ac:dyDescent="0.25">
      <c r="BA67" s="68"/>
    </row>
    <row r="68" spans="7:73" x14ac:dyDescent="0.25">
      <c r="BA68" s="68"/>
    </row>
    <row r="69" spans="7:73" x14ac:dyDescent="0.25">
      <c r="BA69" s="68"/>
    </row>
    <row r="70" spans="7:73" x14ac:dyDescent="0.25">
      <c r="BA70" s="68"/>
    </row>
    <row r="71" spans="7:73" x14ac:dyDescent="0.25">
      <c r="BA71" s="68"/>
    </row>
    <row r="72" spans="7:73" x14ac:dyDescent="0.25">
      <c r="BA72" s="68"/>
    </row>
    <row r="73" spans="7:73" x14ac:dyDescent="0.25">
      <c r="BA73" s="68"/>
    </row>
    <row r="74" spans="7:73" x14ac:dyDescent="0.25">
      <c r="BA74" s="68"/>
    </row>
    <row r="75" spans="7:73" x14ac:dyDescent="0.25">
      <c r="BA75" s="68"/>
    </row>
    <row r="76" spans="7:73" x14ac:dyDescent="0.25">
      <c r="BA76" s="68"/>
    </row>
    <row r="77" spans="7:73" x14ac:dyDescent="0.25">
      <c r="BA77" s="68"/>
    </row>
    <row r="78" spans="7:73" x14ac:dyDescent="0.25">
      <c r="BA78" s="68"/>
    </row>
    <row r="79" spans="7:73" x14ac:dyDescent="0.25">
      <c r="BA79" s="68"/>
    </row>
    <row r="80" spans="7:73" x14ac:dyDescent="0.25">
      <c r="BA80" s="68"/>
    </row>
    <row r="81" spans="53:53" x14ac:dyDescent="0.25">
      <c r="BA81" s="68"/>
    </row>
    <row r="82" spans="53:53" x14ac:dyDescent="0.25">
      <c r="BA82" s="68"/>
    </row>
    <row r="83" spans="53:53" x14ac:dyDescent="0.25">
      <c r="BA83" s="68"/>
    </row>
    <row r="84" spans="53:53" x14ac:dyDescent="0.25">
      <c r="BA84" s="68"/>
    </row>
    <row r="85" spans="53:53" x14ac:dyDescent="0.25">
      <c r="BA85" s="68"/>
    </row>
    <row r="86" spans="53:53" x14ac:dyDescent="0.25">
      <c r="BA86" s="68"/>
    </row>
    <row r="87" spans="53:53" x14ac:dyDescent="0.25">
      <c r="BA87" s="68"/>
    </row>
    <row r="88" spans="53:53" x14ac:dyDescent="0.25">
      <c r="BA88" s="68"/>
    </row>
    <row r="89" spans="53:53" x14ac:dyDescent="0.25">
      <c r="BA89" s="68"/>
    </row>
    <row r="90" spans="53:53" x14ac:dyDescent="0.25">
      <c r="BA90" s="68"/>
    </row>
    <row r="91" spans="53:53" x14ac:dyDescent="0.25">
      <c r="BA91" s="68"/>
    </row>
    <row r="92" spans="53:53" x14ac:dyDescent="0.25">
      <c r="BA92" s="68"/>
    </row>
    <row r="93" spans="53:53" x14ac:dyDescent="0.25">
      <c r="BA93" s="68"/>
    </row>
    <row r="94" spans="53:53" x14ac:dyDescent="0.25">
      <c r="BA94" s="68"/>
    </row>
    <row r="95" spans="53:53" x14ac:dyDescent="0.25">
      <c r="BA95" s="68"/>
    </row>
    <row r="96" spans="53:53" x14ac:dyDescent="0.25">
      <c r="BA96" s="68"/>
    </row>
    <row r="97" spans="53:53" x14ac:dyDescent="0.25">
      <c r="BA97" s="68"/>
    </row>
    <row r="98" spans="53:53" x14ac:dyDescent="0.25">
      <c r="BA98" s="68"/>
    </row>
    <row r="99" spans="53:53" x14ac:dyDescent="0.25">
      <c r="BA99" s="68"/>
    </row>
    <row r="100" spans="53:53" x14ac:dyDescent="0.25">
      <c r="BA100" s="68"/>
    </row>
    <row r="101" spans="53:53" x14ac:dyDescent="0.25">
      <c r="BA101" s="68"/>
    </row>
    <row r="102" spans="53:53" x14ac:dyDescent="0.25">
      <c r="BA102" s="68"/>
    </row>
    <row r="103" spans="53:53" x14ac:dyDescent="0.25">
      <c r="BA103" s="68"/>
    </row>
    <row r="104" spans="53:53" x14ac:dyDescent="0.25">
      <c r="BA104" s="68"/>
    </row>
    <row r="105" spans="53:53" x14ac:dyDescent="0.25">
      <c r="BA105" s="68"/>
    </row>
    <row r="106" spans="53:53" x14ac:dyDescent="0.25">
      <c r="BA106" s="68"/>
    </row>
    <row r="107" spans="53:53" x14ac:dyDescent="0.25">
      <c r="BA107" s="68"/>
    </row>
    <row r="108" spans="53:53" x14ac:dyDescent="0.25">
      <c r="BA108" s="68"/>
    </row>
    <row r="109" spans="53:53" x14ac:dyDescent="0.25">
      <c r="BA109" s="68"/>
    </row>
    <row r="110" spans="53:53" x14ac:dyDescent="0.25">
      <c r="BA110" s="68"/>
    </row>
    <row r="111" spans="53:53" x14ac:dyDescent="0.25">
      <c r="BA111" s="68"/>
    </row>
    <row r="112" spans="53:53" x14ac:dyDescent="0.25">
      <c r="BA112" s="68"/>
    </row>
    <row r="113" spans="53:53" x14ac:dyDescent="0.25">
      <c r="BA113" s="68"/>
    </row>
    <row r="114" spans="53:53" x14ac:dyDescent="0.25">
      <c r="BA114" s="68"/>
    </row>
    <row r="115" spans="53:53" x14ac:dyDescent="0.25">
      <c r="BA115" s="68"/>
    </row>
    <row r="116" spans="53:53" x14ac:dyDescent="0.25">
      <c r="BA116" s="68"/>
    </row>
    <row r="117" spans="53:53" x14ac:dyDescent="0.25">
      <c r="BA117" s="68"/>
    </row>
    <row r="118" spans="53:53" x14ac:dyDescent="0.25">
      <c r="BA118" s="68"/>
    </row>
    <row r="119" spans="53:53" x14ac:dyDescent="0.25">
      <c r="BA119" s="68"/>
    </row>
    <row r="120" spans="53:53" x14ac:dyDescent="0.25">
      <c r="BA120" s="68"/>
    </row>
    <row r="121" spans="53:53" x14ac:dyDescent="0.25">
      <c r="BA121" s="68"/>
    </row>
    <row r="122" spans="53:53" x14ac:dyDescent="0.25">
      <c r="BA122" s="68"/>
    </row>
    <row r="123" spans="53:53" x14ac:dyDescent="0.25">
      <c r="BA123" s="68"/>
    </row>
  </sheetData>
  <autoFilter ref="A6:CO38" xr:uid="{451217DB-FF95-4D61-92FC-B4586C08CF78}"/>
  <mergeCells count="71">
    <mergeCell ref="L37:R38"/>
    <mergeCell ref="U37:U38"/>
    <mergeCell ref="V37:V38"/>
    <mergeCell ref="A36:I36"/>
    <mergeCell ref="L36:R36"/>
    <mergeCell ref="G9:G10"/>
    <mergeCell ref="H9:H10"/>
    <mergeCell ref="F12:F13"/>
    <mergeCell ref="F29:F30"/>
    <mergeCell ref="A34:J34"/>
    <mergeCell ref="A9:A10"/>
    <mergeCell ref="B9:B10"/>
    <mergeCell ref="C9:C10"/>
    <mergeCell ref="D9:D10"/>
    <mergeCell ref="F9:F10"/>
    <mergeCell ref="I29:I30"/>
    <mergeCell ref="BR35:BS35"/>
    <mergeCell ref="BF5:BI5"/>
    <mergeCell ref="BJ5:BJ6"/>
    <mergeCell ref="BK5:BM5"/>
    <mergeCell ref="BN5:BN6"/>
    <mergeCell ref="BO5:BQ5"/>
    <mergeCell ref="BE5:BE6"/>
    <mergeCell ref="Z5:AC5"/>
    <mergeCell ref="AE5:AE6"/>
    <mergeCell ref="AF5:AJ5"/>
    <mergeCell ref="AK5:AK6"/>
    <mergeCell ref="AL5:AP5"/>
    <mergeCell ref="AQ5:AQ6"/>
    <mergeCell ref="AR5:AT5"/>
    <mergeCell ref="AU5:AU6"/>
    <mergeCell ref="AV5:AY5"/>
    <mergeCell ref="AZ5:AZ6"/>
    <mergeCell ref="BA5:BD5"/>
    <mergeCell ref="AQ4:AT4"/>
    <mergeCell ref="AU4:AY4"/>
    <mergeCell ref="AZ4:BD4"/>
    <mergeCell ref="BE4:BI4"/>
    <mergeCell ref="BJ4:BM4"/>
    <mergeCell ref="K3:AC3"/>
    <mergeCell ref="AE3:BQ3"/>
    <mergeCell ref="BR3:BR6"/>
    <mergeCell ref="BS3:BS6"/>
    <mergeCell ref="BT3:BT6"/>
    <mergeCell ref="BN4:BQ4"/>
    <mergeCell ref="K5:K6"/>
    <mergeCell ref="L5:O5"/>
    <mergeCell ref="P5:P6"/>
    <mergeCell ref="Q5:Q6"/>
    <mergeCell ref="R5:R6"/>
    <mergeCell ref="S5:S6"/>
    <mergeCell ref="T5:W5"/>
    <mergeCell ref="X5:X6"/>
    <mergeCell ref="Y5:Y6"/>
    <mergeCell ref="AK4:AP4"/>
    <mergeCell ref="BU12:BU13"/>
    <mergeCell ref="BT12:BT13"/>
    <mergeCell ref="A1:BU1"/>
    <mergeCell ref="A3:A6"/>
    <mergeCell ref="B3:B6"/>
    <mergeCell ref="C3:C6"/>
    <mergeCell ref="E3:E6"/>
    <mergeCell ref="F3:F6"/>
    <mergeCell ref="G3:G6"/>
    <mergeCell ref="H3:H6"/>
    <mergeCell ref="I3:I6"/>
    <mergeCell ref="BU3:BU6"/>
    <mergeCell ref="K4:R4"/>
    <mergeCell ref="S4:X4"/>
    <mergeCell ref="Y4:AD4"/>
    <mergeCell ref="AE4:AJ4"/>
  </mergeCells>
  <conditionalFormatting sqref="BV7:BV10">
    <cfRule type="cellIs" dxfId="0" priority="1" operator="greater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8" scale="57" fitToWidth="0" orientation="landscape" r:id="rId1"/>
  <headerFooter>
    <oddFooter>&amp;L&amp;1#&amp;"Calibri"&amp;9&amp;K000000Klasifikace informací: Neveřejné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4" ma:contentTypeDescription="Create a new document." ma:contentTypeScope="" ma:versionID="c2c3af2a9e16f114ff881236cee97ff8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9eb6d1c247fb9c2a2cefa13562d044a4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5E031A-C54C-41F7-94D8-110DA9DA56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2B5CF4-B791-45EC-9582-9CF5133405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080999-9012-473D-B473-6973FB6C27BF}">
  <ds:schemaRefs>
    <ds:schemaRef ds:uri="332bf68d-6f68-4e32-bbd9-660cee6f1f29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41d627bf-a106-4fea-95e5-243811067a0a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Kubíková Renata</dc:creator>
  <cp:lastModifiedBy>Kubíková Renata</cp:lastModifiedBy>
  <cp:lastPrinted>2022-08-12T10:18:55Z</cp:lastPrinted>
  <dcterms:created xsi:type="dcterms:W3CDTF">2022-07-25T12:15:29Z</dcterms:created>
  <dcterms:modified xsi:type="dcterms:W3CDTF">2022-08-22T14:37:29Z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2022-08-22T14:37:29Z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c1f2b35a-6d3b-434d-94c4-4fbf2a6ebb39</vt:lpwstr>
  </property>
  <property fmtid="{D5CDD505-2E9C-101B-9397-08002B2CF9AE}" pid="9" name="MSIP_Label_215ad6d0-798b-44f9-b3fd-112ad6275fb4_ContentBits">
    <vt:lpwstr>2</vt:lpwstr>
  </property>
</Properties>
</file>