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C:\Users\msk_metelka3040\Documents\_N_FINANCE - ROZPOČET\VÝHLED 2022 - 2025\6-Vyvěšení\5zdroj - opravy text+ost.závazky\"/>
    </mc:Choice>
  </mc:AlternateContent>
  <xr:revisionPtr revIDLastSave="0" documentId="13_ncr:1_{33D6BB80-96EA-4DCC-A1CF-1117B656C283}" xr6:coauthVersionLast="44" xr6:coauthVersionMax="45" xr10:uidLastSave="{00000000-0000-0000-0000-000000000000}"/>
  <bookViews>
    <workbookView xWindow="-120" yWindow="-120" windowWidth="29040" windowHeight="15840" xr2:uid="{54F4A12B-D903-4848-90E6-597CCB8B3524}"/>
  </bookViews>
  <sheets>
    <sheet name="seznam" sheetId="3" r:id="rId1"/>
    <sheet name="Tab. 1 " sheetId="46" r:id="rId2"/>
    <sheet name="Tab. 1 VÝDAJE" sheetId="47" r:id="rId3"/>
    <sheet name="Tab. 2 " sheetId="49" r:id="rId4"/>
    <sheet name="Tab. 3" sheetId="33" r:id="rId5"/>
    <sheet name="Tab. 4" sheetId="29" r:id="rId6"/>
    <sheet name="Tab. 5" sheetId="41" r:id="rId7"/>
    <sheet name="Tab. 6" sheetId="31" r:id="rId8"/>
    <sheet name="Tab. 7" sheetId="50" r:id="rId9"/>
    <sheet name="Tab. 8" sheetId="51" r:id="rId10"/>
  </sheets>
  <externalReferences>
    <externalReference r:id="rId11"/>
    <externalReference r:id="rId12"/>
  </externalReferences>
  <definedNames>
    <definedName name="_xlnm._FilterDatabase" localSheetId="3" hidden="1">'Tab. 2 '!$A$3:$D$44</definedName>
    <definedName name="_xlnm._FilterDatabase" localSheetId="4" hidden="1">'Tab. 3'!$A$4:$I$106</definedName>
    <definedName name="DF_GRID_1" localSheetId="1">#REF!</definedName>
    <definedName name="DF_GRID_1" localSheetId="2">#REF!</definedName>
    <definedName name="DF_GRID_1" localSheetId="3">#REF!</definedName>
    <definedName name="DF_GRID_1" localSheetId="8">#REF!</definedName>
    <definedName name="DF_GRID_1" localSheetId="9">#REF!</definedName>
    <definedName name="DF_GRID_1">#REF!</definedName>
    <definedName name="kurz" localSheetId="1">[1]rozhodnutí!$N$31</definedName>
    <definedName name="kurz" localSheetId="2">[1]rozhodnutí!$N$31</definedName>
    <definedName name="kurz" localSheetId="3">[1]rozhodnutí!$N$31</definedName>
    <definedName name="kurz">[2]rozhodnutí!$N$31</definedName>
    <definedName name="_xlnm.Print_Titles" localSheetId="1">'Tab. 1 '!$5:$5</definedName>
    <definedName name="_xlnm.Print_Titles" localSheetId="2">'Tab. 1 VÝDAJE'!$2:$3</definedName>
    <definedName name="_xlnm.Print_Titles" localSheetId="3">'Tab. 2 '!$3:$4</definedName>
    <definedName name="_xlnm.Print_Titles" localSheetId="4">'Tab. 3'!$3:$5</definedName>
    <definedName name="_xlnm.Print_Titles" localSheetId="5">'Tab. 4'!$3:$5</definedName>
    <definedName name="_xlnm.Print_Titles" localSheetId="6">'Tab. 5'!$3:$5</definedName>
    <definedName name="_xlnm.Print_Titles" localSheetId="7">'Tab. 6'!$3:$5</definedName>
    <definedName name="_xlnm.Print_Area" localSheetId="1">'Tab. 1 '!$A$1:$H$58</definedName>
    <definedName name="_xlnm.Print_Area" localSheetId="4">'Tab. 3'!$A$1:$I$108</definedName>
    <definedName name="_xlnm.Print_Area" localSheetId="5">'Tab. 4'!$A$1:$I$60</definedName>
    <definedName name="_xlnm.Print_Area" localSheetId="6">'Tab. 5'!$A$1:$K$150</definedName>
    <definedName name="_xlnm.Print_Area" localSheetId="7">'Tab. 6'!$A$1:$J$89</definedName>
    <definedName name="_xlnm.Print_Area" localSheetId="9">'Tab. 8'!$A$1:$J$52</definedName>
    <definedName name="SAPBEXhrIndnt" hidden="1">"Wide"</definedName>
    <definedName name="SAPsysID" hidden="1">"708C5W7SBKP804JT78WJ0JNKI"</definedName>
    <definedName name="SAPwbID" hidden="1">"ARS"</definedName>
    <definedName name="Z_011A6C4B_2327_4720_A085_B414162D3D4F_.wvu.PrintTitles" localSheetId="3" hidden="1">'Tab. 2 '!$3:$3</definedName>
    <definedName name="Z_101071BA_2FA5_4A0F_9E83_07DE84746187_.wvu.PrintArea" localSheetId="1" hidden="1">'Tab. 1 '!$A$1:$H$56</definedName>
    <definedName name="Z_101071BA_2FA5_4A0F_9E83_07DE84746187_.wvu.PrintTitles" localSheetId="1" hidden="1">'Tab. 1 '!$5:$5</definedName>
    <definedName name="Z_101071BA_2FA5_4A0F_9E83_07DE84746187_.wvu.PrintTitles" localSheetId="2" hidden="1">'Tab. 1 VÝDAJE'!$2:$3</definedName>
    <definedName name="Z_101071BA_2FA5_4A0F_9E83_07DE84746187_.wvu.Rows" localSheetId="1" hidden="1">'Tab. 1 '!$25:$25</definedName>
    <definedName name="Z_101071BA_2FA5_4A0F_9E83_07DE84746187_.wvu.Rows" localSheetId="2" hidden="1">'Tab. 1 VÝDAJE'!#REF!</definedName>
    <definedName name="Z_49829188_FED5_46AD_A01B_AD023612A570_.wvu.Cols" localSheetId="1" hidden="1">'Tab. 1 '!#REF!</definedName>
    <definedName name="Z_49829188_FED5_46AD_A01B_AD023612A570_.wvu.Cols" localSheetId="2" hidden="1">'Tab. 1 VÝDAJE'!#REF!</definedName>
    <definedName name="Z_49829188_FED5_46AD_A01B_AD023612A570_.wvu.PrintArea" localSheetId="1" hidden="1">'Tab. 1 '!$A$5:$A$34</definedName>
    <definedName name="Z_49829188_FED5_46AD_A01B_AD023612A570_.wvu.PrintArea" localSheetId="2" hidden="1">'Tab. 1 VÝDAJE'!#REF!</definedName>
    <definedName name="Z_49829188_FED5_46AD_A01B_AD023612A570_.wvu.Rows" localSheetId="1" hidden="1">'Tab. 1 '!#REF!</definedName>
    <definedName name="Z_49829188_FED5_46AD_A01B_AD023612A570_.wvu.Rows" localSheetId="2" hidden="1">'Tab. 1 VÝDAJE'!#REF!</definedName>
    <definedName name="Z_6667F704_353F_485F_A09F_F23ECB85BB95_.wvu.Cols" localSheetId="7" hidden="1">'Tab. 6'!$B:$B,'Tab. 6'!$D:$D,'Tab. 6'!#REF!,'Tab. 6'!$IY:$IY,'Tab. 6'!$SU:$SU,'Tab. 6'!$ACQ:$ACQ,'Tab. 6'!$AMM:$AMM,'Tab. 6'!$AWI:$AWI,'Tab. 6'!$BGE:$BGE,'Tab. 6'!$BQA:$BQA,'Tab. 6'!$BZW:$BZW,'Tab. 6'!$CJS:$CJS,'Tab. 6'!$CTO:$CTO,'Tab. 6'!$DDK:$DDK,'Tab. 6'!$DNG:$DNG,'Tab. 6'!$DXC:$DXC,'Tab. 6'!$EGY:$EGY,'Tab. 6'!$EQU:$EQU,'Tab. 6'!$FAQ:$FAQ,'Tab. 6'!$FKM:$FKM,'Tab. 6'!$FUI:$FUI,'Tab. 6'!$GEE:$GEE,'Tab. 6'!$GOA:$GOA,'Tab. 6'!$GXW:$GXW,'Tab. 6'!$HHS:$HHS,'Tab. 6'!$HRO:$HRO,'Tab. 6'!$IBK:$IBK,'Tab. 6'!$ILG:$ILG,'Tab. 6'!$IVC:$IVC,'Tab. 6'!$JEY:$JEY,'Tab. 6'!$JOU:$JOU,'Tab. 6'!$JYQ:$JYQ,'Tab. 6'!$KIM:$KIM,'Tab. 6'!$KSI:$KSI,'Tab. 6'!$LCE:$LCE,'Tab. 6'!$LMA:$LMA,'Tab. 6'!$LVW:$LVW,'Tab. 6'!$MFS:$MFS,'Tab. 6'!$MPO:$MPO,'Tab. 6'!$MZK:$MZK,'Tab. 6'!$NJG:$NJG,'Tab. 6'!$NTC:$NTC,'Tab. 6'!$OCY:$OCY,'Tab. 6'!$OMU:$OMU,'Tab. 6'!$OWQ:$OWQ,'Tab. 6'!$PGM:$PGM,'Tab. 6'!$PQI:$PQI,'Tab. 6'!$QAE:$QAE,'Tab. 6'!$QKA:$QKA,'Tab. 6'!$QTW:$QTW,'Tab. 6'!$RDS:$RDS,'Tab. 6'!$RNO:$RNO,'Tab. 6'!$RXK:$RXK,'Tab. 6'!$SHG:$SHG,'Tab. 6'!$SRC:$SRC,'Tab. 6'!$TAY:$TAY,'Tab. 6'!$TKU:$TKU,'Tab. 6'!$TUQ:$TUQ,'Tab. 6'!$UEM:$UEM,'Tab. 6'!$UOI:$UOI,'Tab. 6'!$UYE:$UYE,'Tab. 6'!$VIA:$VIA,'Tab. 6'!$VRW:$VRW,'Tab. 6'!$WBS:$WBS,'Tab. 6'!$WLO:$WLO,'Tab. 6'!$WVK:$WVK</definedName>
    <definedName name="Z_6667F704_353F_485F_A09F_F23ECB85BB95_.wvu.PrintArea" localSheetId="7" hidden="1">'Tab. 6'!$A$2:$E$89</definedName>
    <definedName name="Z_6667F704_353F_485F_A09F_F23ECB85BB95_.wvu.PrintTitles" localSheetId="7" hidden="1">'Tab. 6'!$3:$5</definedName>
    <definedName name="Z_6773646E_4FE1_4144_9FDF_4FF97C20B4A9_.wvu.PrintArea" localSheetId="1" hidden="1">'Tab. 1 '!$A$5:$C$34</definedName>
    <definedName name="Z_6773646E_4FE1_4144_9FDF_4FF97C20B4A9_.wvu.PrintArea" localSheetId="2" hidden="1">'Tab. 1 VÝDAJE'!#REF!</definedName>
    <definedName name="Z_6773646E_4FE1_4144_9FDF_4FF97C20B4A9_.wvu.Rows" localSheetId="1" hidden="1">'Tab. 1 '!$25:$25</definedName>
    <definedName name="Z_6773646E_4FE1_4144_9FDF_4FF97C20B4A9_.wvu.Rows" localSheetId="2" hidden="1">'Tab. 1 VÝDAJE'!#REF!</definedName>
    <definedName name="Z_8DF5934D_271D_4996_8FBD_8BBE47175559_.wvu.Cols" localSheetId="7" hidden="1">'Tab. 6'!$B:$B,'Tab. 6'!$D:$D,'Tab. 6'!#REF!,'Tab. 6'!$IY:$IY,'Tab. 6'!$SU:$SU,'Tab. 6'!$ACQ:$ACQ,'Tab. 6'!$AMM:$AMM,'Tab. 6'!$AWI:$AWI,'Tab. 6'!$BGE:$BGE,'Tab. 6'!$BQA:$BQA,'Tab. 6'!$BZW:$BZW,'Tab. 6'!$CJS:$CJS,'Tab. 6'!$CTO:$CTO,'Tab. 6'!$DDK:$DDK,'Tab. 6'!$DNG:$DNG,'Tab. 6'!$DXC:$DXC,'Tab. 6'!$EGY:$EGY,'Tab. 6'!$EQU:$EQU,'Tab. 6'!$FAQ:$FAQ,'Tab. 6'!$FKM:$FKM,'Tab. 6'!$FUI:$FUI,'Tab. 6'!$GEE:$GEE,'Tab. 6'!$GOA:$GOA,'Tab. 6'!$GXW:$GXW,'Tab. 6'!$HHS:$HHS,'Tab. 6'!$HRO:$HRO,'Tab. 6'!$IBK:$IBK,'Tab. 6'!$ILG:$ILG,'Tab. 6'!$IVC:$IVC,'Tab. 6'!$JEY:$JEY,'Tab. 6'!$JOU:$JOU,'Tab. 6'!$JYQ:$JYQ,'Tab. 6'!$KIM:$KIM,'Tab. 6'!$KSI:$KSI,'Tab. 6'!$LCE:$LCE,'Tab. 6'!$LMA:$LMA,'Tab. 6'!$LVW:$LVW,'Tab. 6'!$MFS:$MFS,'Tab. 6'!$MPO:$MPO,'Tab. 6'!$MZK:$MZK,'Tab. 6'!$NJG:$NJG,'Tab. 6'!$NTC:$NTC,'Tab. 6'!$OCY:$OCY,'Tab. 6'!$OMU:$OMU,'Tab. 6'!$OWQ:$OWQ,'Tab. 6'!$PGM:$PGM,'Tab. 6'!$PQI:$PQI,'Tab. 6'!$QAE:$QAE,'Tab. 6'!$QKA:$QKA,'Tab. 6'!$QTW:$QTW,'Tab. 6'!$RDS:$RDS,'Tab. 6'!$RNO:$RNO,'Tab. 6'!$RXK:$RXK,'Tab. 6'!$SHG:$SHG,'Tab. 6'!$SRC:$SRC,'Tab. 6'!$TAY:$TAY,'Tab. 6'!$TKU:$TKU,'Tab. 6'!$TUQ:$TUQ,'Tab. 6'!$UEM:$UEM,'Tab. 6'!$UOI:$UOI,'Tab. 6'!$UYE:$UYE,'Tab. 6'!$VIA:$VIA,'Tab. 6'!$VRW:$VRW,'Tab. 6'!$WBS:$WBS,'Tab. 6'!$WLO:$WLO,'Tab. 6'!$WVK:$WVK</definedName>
    <definedName name="Z_8DF5934D_271D_4996_8FBD_8BBE47175559_.wvu.PrintArea" localSheetId="7" hidden="1">'Tab. 6'!$A$2:$E$89</definedName>
    <definedName name="Z_8DF5934D_271D_4996_8FBD_8BBE47175559_.wvu.PrintTitles" localSheetId="7" hidden="1">'Tab. 6'!$3:$5</definedName>
    <definedName name="Z_AF65B0D2_A89B_4D75_B4AE_5BFEE1615BA9_.wvu.Cols" localSheetId="7" hidden="1">'Tab. 6'!#REF!,'Tab. 6'!$IY:$IY,'Tab. 6'!$SU:$SU,'Tab. 6'!$ACQ:$ACQ,'Tab. 6'!$AMM:$AMM,'Tab. 6'!$AWI:$AWI,'Tab. 6'!$BGE:$BGE,'Tab. 6'!$BQA:$BQA,'Tab. 6'!$BZW:$BZW,'Tab. 6'!$CJS:$CJS,'Tab. 6'!$CTO:$CTO,'Tab. 6'!$DDK:$DDK,'Tab. 6'!$DNG:$DNG,'Tab. 6'!$DXC:$DXC,'Tab. 6'!$EGY:$EGY,'Tab. 6'!$EQU:$EQU,'Tab. 6'!$FAQ:$FAQ,'Tab. 6'!$FKM:$FKM,'Tab. 6'!$FUI:$FUI,'Tab. 6'!$GEE:$GEE,'Tab. 6'!$GOA:$GOA,'Tab. 6'!$GXW:$GXW,'Tab. 6'!$HHS:$HHS,'Tab. 6'!$HRO:$HRO,'Tab. 6'!$IBK:$IBK,'Tab. 6'!$ILG:$ILG,'Tab. 6'!$IVC:$IVC,'Tab. 6'!$JEY:$JEY,'Tab. 6'!$JOU:$JOU,'Tab. 6'!$JYQ:$JYQ,'Tab. 6'!$KIM:$KIM,'Tab. 6'!$KSI:$KSI,'Tab. 6'!$LCE:$LCE,'Tab. 6'!$LMA:$LMA,'Tab. 6'!$LVW:$LVW,'Tab. 6'!$MFS:$MFS,'Tab. 6'!$MPO:$MPO,'Tab. 6'!$MZK:$MZK,'Tab. 6'!$NJG:$NJG,'Tab. 6'!$NTC:$NTC,'Tab. 6'!$OCY:$OCY,'Tab. 6'!$OMU:$OMU,'Tab. 6'!$OWQ:$OWQ,'Tab. 6'!$PGM:$PGM,'Tab. 6'!$PQI:$PQI,'Tab. 6'!$QAE:$QAE,'Tab. 6'!$QKA:$QKA,'Tab. 6'!$QTW:$QTW,'Tab. 6'!$RDS:$RDS,'Tab. 6'!$RNO:$RNO,'Tab. 6'!$RXK:$RXK,'Tab. 6'!$SHG:$SHG,'Tab. 6'!$SRC:$SRC,'Tab. 6'!$TAY:$TAY,'Tab. 6'!$TKU:$TKU,'Tab. 6'!$TUQ:$TUQ,'Tab. 6'!$UEM:$UEM,'Tab. 6'!$UOI:$UOI,'Tab. 6'!$UYE:$UYE,'Tab. 6'!$VIA:$VIA,'Tab. 6'!$VRW:$VRW,'Tab. 6'!$WBS:$WBS,'Tab. 6'!$WLO:$WLO,'Tab. 6'!$WVK:$WVK</definedName>
    <definedName name="Z_AF65B0D2_A89B_4D75_B4AE_5BFEE1615BA9_.wvu.PrintTitles" localSheetId="7" hidden="1">'Tab. 6'!$3:$5</definedName>
    <definedName name="Z_BCCA6061_3DB5_4487_907E_7813A1F1537A_.wvu.PrintArea" localSheetId="1" hidden="1">'Tab. 1 '!$A$5:$C$34</definedName>
    <definedName name="Z_BCCA6061_3DB5_4487_907E_7813A1F1537A_.wvu.PrintArea" localSheetId="2" hidden="1">'Tab. 1 VÝDAJE'!#REF!</definedName>
    <definedName name="Z_BCCA6061_3DB5_4487_907E_7813A1F1537A_.wvu.Rows" localSheetId="1" hidden="1">'Tab. 1 '!$25:$25</definedName>
    <definedName name="Z_BCCA6061_3DB5_4487_907E_7813A1F1537A_.wvu.Rows" localSheetId="2" hidden="1">'Tab. 1 VÝDAJE'!#REF!</definedName>
    <definedName name="Z_E5D11231_1473_4685_9500_D27714D32333_.wvu.Cols" localSheetId="1" hidden="1">'Tab. 1 '!#REF!</definedName>
    <definedName name="Z_E5D11231_1473_4685_9500_D27714D32333_.wvu.Cols" localSheetId="2" hidden="1">'Tab. 1 VÝDAJE'!#REF!</definedName>
    <definedName name="Z_E5D11231_1473_4685_9500_D27714D32333_.wvu.Rows" localSheetId="1" hidden="1">'Tab. 1 '!#REF!</definedName>
    <definedName name="Z_E5D11231_1473_4685_9500_D27714D32333_.wvu.Rows" localSheetId="2" hidden="1">'Tab. 1 VÝDAJE'!#REF!</definedName>
    <definedName name="Z_FFF09864_B75B_45CC_8A23_7ED56E2D3858_.wvu.Cols" localSheetId="7" hidden="1">'Tab. 6'!#REF!,'Tab. 6'!$IY:$IY,'Tab. 6'!$SU:$SU,'Tab. 6'!$ACQ:$ACQ,'Tab. 6'!$AMM:$AMM,'Tab. 6'!$AWI:$AWI,'Tab. 6'!$BGE:$BGE,'Tab. 6'!$BQA:$BQA,'Tab. 6'!$BZW:$BZW,'Tab. 6'!$CJS:$CJS,'Tab. 6'!$CTO:$CTO,'Tab. 6'!$DDK:$DDK,'Tab. 6'!$DNG:$DNG,'Tab. 6'!$DXC:$DXC,'Tab. 6'!$EGY:$EGY,'Tab. 6'!$EQU:$EQU,'Tab. 6'!$FAQ:$FAQ,'Tab. 6'!$FKM:$FKM,'Tab. 6'!$FUI:$FUI,'Tab. 6'!$GEE:$GEE,'Tab. 6'!$GOA:$GOA,'Tab. 6'!$GXW:$GXW,'Tab. 6'!$HHS:$HHS,'Tab. 6'!$HRO:$HRO,'Tab. 6'!$IBK:$IBK,'Tab. 6'!$ILG:$ILG,'Tab. 6'!$IVC:$IVC,'Tab. 6'!$JEY:$JEY,'Tab. 6'!$JOU:$JOU,'Tab. 6'!$JYQ:$JYQ,'Tab. 6'!$KIM:$KIM,'Tab. 6'!$KSI:$KSI,'Tab. 6'!$LCE:$LCE,'Tab. 6'!$LMA:$LMA,'Tab. 6'!$LVW:$LVW,'Tab. 6'!$MFS:$MFS,'Tab. 6'!$MPO:$MPO,'Tab. 6'!$MZK:$MZK,'Tab. 6'!$NJG:$NJG,'Tab. 6'!$NTC:$NTC,'Tab. 6'!$OCY:$OCY,'Tab. 6'!$OMU:$OMU,'Tab. 6'!$OWQ:$OWQ,'Tab. 6'!$PGM:$PGM,'Tab. 6'!$PQI:$PQI,'Tab. 6'!$QAE:$QAE,'Tab. 6'!$QKA:$QKA,'Tab. 6'!$QTW:$QTW,'Tab. 6'!$RDS:$RDS,'Tab. 6'!$RNO:$RNO,'Tab. 6'!$RXK:$RXK,'Tab. 6'!$SHG:$SHG,'Tab. 6'!$SRC:$SRC,'Tab. 6'!$TAY:$TAY,'Tab. 6'!$TKU:$TKU,'Tab. 6'!$TUQ:$TUQ,'Tab. 6'!$UEM:$UEM,'Tab. 6'!$UOI:$UOI,'Tab. 6'!$UYE:$UYE,'Tab. 6'!$VIA:$VIA,'Tab. 6'!$VRW:$VRW,'Tab. 6'!$WBS:$WBS,'Tab. 6'!$WLO:$WLO,'Tab. 6'!$WVK:$WVK</definedName>
    <definedName name="Z_FFF09864_B75B_45CC_8A23_7ED56E2D3858_.wvu.PrintTitles" localSheetId="7" hidden="1">'Tab. 6'!$3:$5</definedName>
  </definedNames>
  <calcPr calcId="191029"/>
  <customWorkbookViews>
    <customWorkbookView name="Metelka Tomáš – osobní zobrazení" guid="{101071BA-2FA5-4A0F-9E83-07DE84746187}" mergeInterval="0" personalView="1" maximized="1" xWindow="-8" yWindow="-8" windowWidth="1936" windowHeight="1056"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48" i="31" l="1"/>
  <c r="I67" i="31"/>
  <c r="I70" i="31"/>
  <c r="I77" i="31"/>
  <c r="I87" i="31"/>
  <c r="I34" i="31"/>
  <c r="I31" i="31"/>
  <c r="I20" i="31"/>
  <c r="I15" i="31"/>
  <c r="I12" i="31"/>
  <c r="I9" i="31"/>
  <c r="I89" i="31" l="1"/>
  <c r="C121" i="41" l="1"/>
  <c r="C17" i="41"/>
  <c r="C10" i="41"/>
  <c r="C73" i="41"/>
  <c r="C72" i="41"/>
  <c r="C70" i="41"/>
  <c r="C68" i="41"/>
  <c r="C67" i="41"/>
  <c r="C66" i="41"/>
  <c r="C65" i="41"/>
  <c r="C64" i="41"/>
  <c r="C63" i="41"/>
  <c r="C62" i="41"/>
  <c r="C61" i="41"/>
  <c r="C60" i="41"/>
  <c r="C59" i="41"/>
  <c r="C58" i="41"/>
  <c r="C57" i="41"/>
  <c r="C56" i="41"/>
  <c r="C55" i="41"/>
  <c r="C54" i="41"/>
  <c r="C53" i="41"/>
  <c r="C52" i="41"/>
  <c r="C51" i="41"/>
  <c r="C50" i="41"/>
  <c r="C49" i="41"/>
  <c r="C48" i="41"/>
  <c r="C47" i="41"/>
  <c r="C46" i="41"/>
  <c r="C45" i="41"/>
  <c r="C44" i="41"/>
  <c r="C43" i="41"/>
  <c r="C41" i="41"/>
  <c r="C40" i="41"/>
  <c r="C39" i="41"/>
  <c r="C38" i="41"/>
  <c r="C37" i="41"/>
  <c r="C36" i="41"/>
  <c r="C35" i="41"/>
  <c r="C34" i="41"/>
  <c r="C33" i="41"/>
  <c r="C32" i="41"/>
  <c r="C31" i="41"/>
  <c r="C90" i="41"/>
  <c r="C28" i="41"/>
  <c r="C27" i="41"/>
  <c r="C26" i="41"/>
  <c r="C25" i="41"/>
  <c r="C24" i="41"/>
  <c r="C23" i="41"/>
  <c r="C22" i="41"/>
  <c r="C21" i="41"/>
  <c r="C20" i="41"/>
  <c r="C19" i="41"/>
  <c r="C18" i="41"/>
  <c r="C16" i="41"/>
  <c r="C15" i="41"/>
  <c r="C14" i="41"/>
  <c r="C11" i="41"/>
  <c r="C9" i="41"/>
  <c r="C8" i="41"/>
  <c r="C7" i="41"/>
  <c r="C55" i="29"/>
  <c r="C54" i="29"/>
  <c r="C53" i="29"/>
  <c r="C52" i="29"/>
  <c r="C49" i="29"/>
  <c r="C48" i="29"/>
  <c r="C47" i="29"/>
  <c r="C46" i="29"/>
  <c r="C45" i="29"/>
  <c r="C44" i="29"/>
  <c r="C43" i="29"/>
  <c r="C42" i="29"/>
  <c r="C41" i="29"/>
  <c r="C40" i="29"/>
  <c r="C39" i="29"/>
  <c r="C38" i="29"/>
  <c r="C37" i="29"/>
  <c r="C36" i="29"/>
  <c r="C35" i="29"/>
  <c r="C34" i="29"/>
  <c r="C33" i="29"/>
  <c r="C32" i="29"/>
  <c r="C29" i="29"/>
  <c r="C28" i="29"/>
  <c r="C27" i="29"/>
  <c r="C26" i="29"/>
  <c r="C25" i="29"/>
  <c r="C22" i="29"/>
  <c r="C21" i="29"/>
  <c r="C20" i="29"/>
  <c r="C19" i="29"/>
  <c r="C18" i="29"/>
  <c r="C17" i="29"/>
  <c r="C14" i="29"/>
  <c r="C13" i="29"/>
  <c r="C12" i="29"/>
  <c r="C11" i="29"/>
  <c r="C10" i="29"/>
  <c r="C105" i="33"/>
  <c r="C104" i="33"/>
  <c r="C103" i="33"/>
  <c r="C102" i="33"/>
  <c r="C101" i="33"/>
  <c r="C100" i="33"/>
  <c r="C99" i="33"/>
  <c r="C98" i="33"/>
  <c r="C95" i="33"/>
  <c r="C94" i="33"/>
  <c r="C93" i="33"/>
  <c r="C92" i="33"/>
  <c r="C91" i="33"/>
  <c r="C90" i="33"/>
  <c r="C89" i="33"/>
  <c r="C88" i="33"/>
  <c r="C87" i="33"/>
  <c r="C86" i="33"/>
  <c r="C85" i="33"/>
  <c r="C82" i="33"/>
  <c r="C79" i="33"/>
  <c r="C78" i="33"/>
  <c r="C77" i="33"/>
  <c r="C76" i="33"/>
  <c r="C75" i="33"/>
  <c r="C74" i="33"/>
  <c r="C73" i="33"/>
  <c r="C72" i="33"/>
  <c r="C71" i="33"/>
  <c r="C70" i="33"/>
  <c r="C69" i="33"/>
  <c r="C68" i="33"/>
  <c r="C67" i="33"/>
  <c r="C66" i="33"/>
  <c r="C65" i="33"/>
  <c r="C64" i="33"/>
  <c r="C63" i="33"/>
  <c r="C62" i="33"/>
  <c r="C61" i="33"/>
  <c r="C60" i="33"/>
  <c r="C59" i="33"/>
  <c r="C58" i="33"/>
  <c r="C57" i="33"/>
  <c r="C56" i="33"/>
  <c r="C55" i="33"/>
  <c r="C54" i="33"/>
  <c r="C51" i="33"/>
  <c r="C50" i="33"/>
  <c r="C49" i="33"/>
  <c r="C48" i="33"/>
  <c r="C47" i="33"/>
  <c r="C46" i="33"/>
  <c r="C45" i="33"/>
  <c r="C44" i="33"/>
  <c r="C43" i="33"/>
  <c r="C42" i="33"/>
  <c r="C41" i="33"/>
  <c r="C40" i="33"/>
  <c r="C39" i="33"/>
  <c r="C38" i="33"/>
  <c r="C37" i="33"/>
  <c r="C34" i="33"/>
  <c r="C31" i="33"/>
  <c r="C30" i="33"/>
  <c r="C29" i="33"/>
  <c r="C26" i="33"/>
  <c r="C25" i="33"/>
  <c r="C24" i="33"/>
  <c r="C21" i="33"/>
  <c r="C20" i="33"/>
  <c r="C17" i="33"/>
  <c r="C16" i="33"/>
  <c r="C15" i="33"/>
  <c r="C14" i="33"/>
  <c r="C13" i="33"/>
  <c r="C12" i="33"/>
  <c r="C11" i="33"/>
  <c r="C10" i="33"/>
  <c r="C7" i="33"/>
  <c r="C7" i="29"/>
  <c r="G148" i="41"/>
  <c r="G142" i="41"/>
  <c r="G88" i="41"/>
  <c r="G85" i="41"/>
  <c r="G75" i="41"/>
  <c r="G71" i="41"/>
  <c r="G42" i="41"/>
  <c r="G69" i="41"/>
  <c r="G91" i="41"/>
  <c r="G12" i="41"/>
  <c r="G50" i="29"/>
  <c r="G30" i="29"/>
  <c r="G23" i="29"/>
  <c r="G15" i="29"/>
  <c r="G8" i="29"/>
  <c r="G56" i="29"/>
  <c r="G102" i="33"/>
  <c r="G106" i="33" s="1"/>
  <c r="G103" i="33"/>
  <c r="G104" i="33"/>
  <c r="G105" i="33"/>
  <c r="G100" i="33"/>
  <c r="G93" i="33"/>
  <c r="G94" i="33"/>
  <c r="G95" i="33"/>
  <c r="G82" i="33"/>
  <c r="G83" i="33" s="1"/>
  <c r="G37" i="33"/>
  <c r="G38" i="33"/>
  <c r="G39" i="33"/>
  <c r="G40" i="33"/>
  <c r="G41" i="33"/>
  <c r="G42" i="33"/>
  <c r="G43" i="33"/>
  <c r="G44" i="33"/>
  <c r="G45" i="33"/>
  <c r="G46" i="33"/>
  <c r="G34" i="33"/>
  <c r="G35" i="33" s="1"/>
  <c r="G29" i="33"/>
  <c r="G32" i="33" s="1"/>
  <c r="G30" i="33"/>
  <c r="G31" i="33"/>
  <c r="G26" i="33"/>
  <c r="G22" i="33"/>
  <c r="G18" i="33"/>
  <c r="G8" i="33"/>
  <c r="G76" i="41" l="1"/>
  <c r="G29" i="41"/>
  <c r="G58" i="29"/>
  <c r="B43" i="47"/>
  <c r="B20" i="47"/>
  <c r="C59" i="47" l="1"/>
  <c r="C53" i="47"/>
  <c r="H92" i="33"/>
  <c r="G92" i="33" l="1"/>
  <c r="C10" i="51"/>
  <c r="C16" i="46" l="1"/>
  <c r="D16" i="46"/>
  <c r="E16" i="46"/>
  <c r="C23" i="46"/>
  <c r="D23" i="46"/>
  <c r="E23" i="46"/>
  <c r="C24" i="46"/>
  <c r="D24" i="46"/>
  <c r="E24" i="46"/>
  <c r="B24" i="46"/>
  <c r="B23" i="46"/>
  <c r="B16" i="46"/>
  <c r="E43" i="47" l="1"/>
  <c r="D43" i="47"/>
  <c r="C43" i="47"/>
  <c r="G20" i="31" l="1"/>
  <c r="H20" i="31"/>
  <c r="J20" i="31"/>
  <c r="F20" i="31"/>
  <c r="D107" i="41" l="1"/>
  <c r="J47" i="51" l="1"/>
  <c r="J48" i="51" s="1"/>
  <c r="I47" i="51"/>
  <c r="I48" i="51" s="1"/>
  <c r="H47" i="51"/>
  <c r="H48" i="51" s="1"/>
  <c r="G47" i="51"/>
  <c r="G48" i="51" s="1"/>
  <c r="F47" i="51"/>
  <c r="F48" i="51" s="1"/>
  <c r="E47" i="51"/>
  <c r="E48" i="51" s="1"/>
  <c r="D47" i="51"/>
  <c r="D48" i="51" s="1"/>
  <c r="C47" i="51"/>
  <c r="C48" i="51" s="1"/>
  <c r="H34" i="51"/>
  <c r="G34" i="51"/>
  <c r="F34" i="51"/>
  <c r="E34" i="51"/>
  <c r="D34" i="51"/>
  <c r="C34" i="51"/>
  <c r="H31" i="51"/>
  <c r="G31" i="51"/>
  <c r="F31" i="51"/>
  <c r="E31" i="51"/>
  <c r="D31" i="51"/>
  <c r="C31" i="51"/>
  <c r="H27" i="51"/>
  <c r="G27" i="51"/>
  <c r="F27" i="51"/>
  <c r="E27" i="51"/>
  <c r="D27" i="51"/>
  <c r="C27" i="51"/>
  <c r="H21" i="51"/>
  <c r="G21" i="51"/>
  <c r="F21" i="51"/>
  <c r="E21" i="51"/>
  <c r="D21" i="51"/>
  <c r="C21" i="51"/>
  <c r="H20" i="51"/>
  <c r="G20" i="51"/>
  <c r="F20" i="51"/>
  <c r="E20" i="51"/>
  <c r="D20" i="51"/>
  <c r="C20" i="51"/>
  <c r="H19" i="51"/>
  <c r="G19" i="51"/>
  <c r="F19" i="51"/>
  <c r="F22" i="51" s="1"/>
  <c r="F36" i="51" s="1"/>
  <c r="F40" i="51" s="1"/>
  <c r="E19" i="51"/>
  <c r="D19" i="51"/>
  <c r="C19" i="51"/>
  <c r="E12" i="51"/>
  <c r="D12" i="51"/>
  <c r="C12" i="51"/>
  <c r="J10" i="51"/>
  <c r="J12" i="51" s="1"/>
  <c r="I10" i="51"/>
  <c r="I12" i="51" s="1"/>
  <c r="H10" i="51"/>
  <c r="H12" i="51" s="1"/>
  <c r="G10" i="51"/>
  <c r="G12" i="51" s="1"/>
  <c r="F10" i="51"/>
  <c r="F12" i="51" s="1"/>
  <c r="S20" i="50"/>
  <c r="R20" i="50"/>
  <c r="S19" i="50"/>
  <c r="R19" i="50"/>
  <c r="S18" i="50"/>
  <c r="R18" i="50"/>
  <c r="S17" i="50"/>
  <c r="R17" i="50"/>
  <c r="S16" i="50"/>
  <c r="R16" i="50"/>
  <c r="S15" i="50"/>
  <c r="R15" i="50"/>
  <c r="S14" i="50"/>
  <c r="R14" i="50"/>
  <c r="S13" i="50"/>
  <c r="R13" i="50"/>
  <c r="S12" i="50"/>
  <c r="R12" i="50"/>
  <c r="S11" i="50"/>
  <c r="R11" i="50"/>
  <c r="S10" i="50"/>
  <c r="R10" i="50"/>
  <c r="K10" i="50"/>
  <c r="K11" i="50" s="1"/>
  <c r="S9" i="50"/>
  <c r="R9" i="50"/>
  <c r="S8" i="50"/>
  <c r="R8" i="50"/>
  <c r="S7" i="50"/>
  <c r="R7" i="50"/>
  <c r="H7" i="50"/>
  <c r="H8" i="50" s="1"/>
  <c r="H9" i="50" s="1"/>
  <c r="H10" i="50" s="1"/>
  <c r="B7" i="50"/>
  <c r="S6" i="50"/>
  <c r="R6" i="50"/>
  <c r="Q6" i="50"/>
  <c r="G22" i="51" l="1"/>
  <c r="G36" i="51" s="1"/>
  <c r="G40" i="51" s="1"/>
  <c r="H22" i="51"/>
  <c r="H36" i="51" s="1"/>
  <c r="H40" i="51" s="1"/>
  <c r="F38" i="51"/>
  <c r="Q7" i="50"/>
  <c r="D22" i="51"/>
  <c r="D36" i="51" s="1"/>
  <c r="D40" i="51" s="1"/>
  <c r="C22" i="51"/>
  <c r="C36" i="51" s="1"/>
  <c r="C40" i="51" s="1"/>
  <c r="E22" i="51"/>
  <c r="E36" i="51" s="1"/>
  <c r="E40" i="51" s="1"/>
  <c r="D39" i="51"/>
  <c r="B8" i="50"/>
  <c r="Q8" i="50" s="1"/>
  <c r="C39" i="51"/>
  <c r="E39" i="51"/>
  <c r="D38" i="51"/>
  <c r="F39" i="51"/>
  <c r="Q11" i="50"/>
  <c r="K12" i="50"/>
  <c r="H38" i="51" l="1"/>
  <c r="G38" i="51"/>
  <c r="G39" i="51"/>
  <c r="H39" i="51"/>
  <c r="B9" i="50"/>
  <c r="Q9" i="50" s="1"/>
  <c r="E38" i="51"/>
  <c r="C38" i="51"/>
  <c r="B10" i="50"/>
  <c r="Q10" i="50" s="1"/>
  <c r="K13" i="50"/>
  <c r="Q12" i="50"/>
  <c r="K14" i="50" l="1"/>
  <c r="Q13" i="50"/>
  <c r="Q14" i="50" l="1"/>
  <c r="K15" i="50"/>
  <c r="K16" i="50" l="1"/>
  <c r="Q15" i="50"/>
  <c r="K17" i="50" l="1"/>
  <c r="Q16" i="50"/>
  <c r="Q17" i="50" l="1"/>
  <c r="K18" i="50"/>
  <c r="Q18" i="50" l="1"/>
  <c r="K19" i="50"/>
  <c r="K20" i="50" l="1"/>
  <c r="Q20" i="50" s="1"/>
  <c r="Q19" i="50"/>
  <c r="D56" i="29" l="1"/>
  <c r="E56" i="29"/>
  <c r="F56" i="29"/>
  <c r="H56" i="29"/>
  <c r="D50" i="29"/>
  <c r="E50" i="29"/>
  <c r="F50" i="29"/>
  <c r="H50" i="29"/>
  <c r="D30" i="29"/>
  <c r="E30" i="29"/>
  <c r="F30" i="29"/>
  <c r="H30" i="29"/>
  <c r="D23" i="29"/>
  <c r="E23" i="29"/>
  <c r="F23" i="29"/>
  <c r="H23" i="29"/>
  <c r="D15" i="29"/>
  <c r="E15" i="29"/>
  <c r="F15" i="29"/>
  <c r="H15" i="29"/>
  <c r="E46" i="47" l="1"/>
  <c r="C56" i="29" l="1"/>
  <c r="C50" i="29"/>
  <c r="F60" i="49" l="1"/>
  <c r="E60" i="49"/>
  <c r="D60" i="49"/>
  <c r="C60" i="49"/>
  <c r="E57" i="49"/>
  <c r="D57" i="49"/>
  <c r="C57" i="49"/>
  <c r="E55" i="49"/>
  <c r="D55" i="49"/>
  <c r="C55" i="49"/>
  <c r="E52" i="49"/>
  <c r="D52" i="49"/>
  <c r="C52" i="49"/>
  <c r="E50" i="49"/>
  <c r="D50" i="49"/>
  <c r="E46" i="49"/>
  <c r="E44" i="49" s="1"/>
  <c r="D46" i="49"/>
  <c r="C46" i="49"/>
  <c r="E45" i="49"/>
  <c r="D45" i="49"/>
  <c r="C45" i="49"/>
  <c r="F44" i="49"/>
  <c r="F35" i="49"/>
  <c r="E35" i="49"/>
  <c r="D35" i="49"/>
  <c r="C35" i="49"/>
  <c r="F32" i="49"/>
  <c r="E32" i="49"/>
  <c r="D32" i="49"/>
  <c r="C32" i="49"/>
  <c r="F28" i="49"/>
  <c r="E28" i="49"/>
  <c r="D28" i="49"/>
  <c r="C28" i="49"/>
  <c r="F26" i="49"/>
  <c r="E26" i="49"/>
  <c r="D26" i="49"/>
  <c r="C26" i="49"/>
  <c r="F24" i="49"/>
  <c r="F21" i="49"/>
  <c r="E21" i="49"/>
  <c r="D21" i="49"/>
  <c r="C21" i="49"/>
  <c r="F14" i="49"/>
  <c r="E14" i="49"/>
  <c r="D14" i="49"/>
  <c r="C14" i="49"/>
  <c r="C5" i="49" s="1"/>
  <c r="F7" i="49"/>
  <c r="F5" i="49" s="1"/>
  <c r="F66" i="49" s="1"/>
  <c r="E7" i="49"/>
  <c r="E5" i="49" s="1"/>
  <c r="D7" i="49"/>
  <c r="C7" i="49"/>
  <c r="C44" i="49" l="1"/>
  <c r="C24" i="49" s="1"/>
  <c r="C66" i="49" s="1"/>
  <c r="D44" i="49"/>
  <c r="D24" i="49" s="1"/>
  <c r="E24" i="49"/>
  <c r="D5" i="49"/>
  <c r="D66" i="49" s="1"/>
  <c r="E66" i="49"/>
  <c r="H64" i="47" l="1"/>
  <c r="G64" i="47"/>
  <c r="F64" i="47"/>
  <c r="H62" i="47"/>
  <c r="G62" i="47"/>
  <c r="F62" i="47"/>
  <c r="H60" i="47"/>
  <c r="G60" i="47"/>
  <c r="F60" i="47"/>
  <c r="H59" i="47"/>
  <c r="G59" i="47"/>
  <c r="F59" i="47"/>
  <c r="G58" i="47"/>
  <c r="F58" i="47"/>
  <c r="H57" i="47"/>
  <c r="G57" i="47"/>
  <c r="F57" i="47"/>
  <c r="H56" i="47"/>
  <c r="G56" i="47"/>
  <c r="F56" i="47"/>
  <c r="H55" i="47"/>
  <c r="G55" i="47"/>
  <c r="F55" i="47"/>
  <c r="H54" i="47"/>
  <c r="G54" i="47"/>
  <c r="F54" i="47"/>
  <c r="H53" i="47"/>
  <c r="G53" i="47"/>
  <c r="F53" i="47"/>
  <c r="H52" i="47"/>
  <c r="G52" i="47"/>
  <c r="F52" i="47"/>
  <c r="H51" i="47"/>
  <c r="G51" i="47"/>
  <c r="F51" i="47"/>
  <c r="G50" i="47"/>
  <c r="F50" i="47"/>
  <c r="E49" i="47"/>
  <c r="E22" i="46" s="1"/>
  <c r="D49" i="47"/>
  <c r="D22" i="46" s="1"/>
  <c r="C49" i="47"/>
  <c r="B49" i="47"/>
  <c r="B22" i="46" s="1"/>
  <c r="H47" i="47"/>
  <c r="G47" i="47"/>
  <c r="F47" i="47"/>
  <c r="H46" i="47"/>
  <c r="G46" i="47"/>
  <c r="F46" i="47"/>
  <c r="G45" i="47"/>
  <c r="F45" i="47"/>
  <c r="H44" i="47"/>
  <c r="G44" i="47"/>
  <c r="F44" i="47"/>
  <c r="H43" i="47"/>
  <c r="G43" i="47"/>
  <c r="F43" i="47"/>
  <c r="G42" i="47"/>
  <c r="F42" i="47"/>
  <c r="H41" i="47"/>
  <c r="G41" i="47"/>
  <c r="F41" i="47"/>
  <c r="E40" i="47"/>
  <c r="E21" i="46" s="1"/>
  <c r="D40" i="47"/>
  <c r="D21" i="46" s="1"/>
  <c r="C40" i="47"/>
  <c r="C21" i="46" s="1"/>
  <c r="B40" i="47"/>
  <c r="B21" i="46" s="1"/>
  <c r="H38" i="47"/>
  <c r="G38" i="47"/>
  <c r="F38" i="47"/>
  <c r="F36" i="47"/>
  <c r="H35" i="47"/>
  <c r="G35" i="47"/>
  <c r="F35" i="47"/>
  <c r="E34" i="47"/>
  <c r="E20" i="46" s="1"/>
  <c r="D34" i="47"/>
  <c r="D20" i="46" s="1"/>
  <c r="C34" i="47"/>
  <c r="B34" i="47"/>
  <c r="B20" i="46" s="1"/>
  <c r="H33" i="47"/>
  <c r="G33" i="47"/>
  <c r="F33" i="47"/>
  <c r="H32" i="47"/>
  <c r="G32" i="47"/>
  <c r="F32" i="47"/>
  <c r="H31" i="47"/>
  <c r="G31" i="47"/>
  <c r="F31" i="47"/>
  <c r="H30" i="47"/>
  <c r="G30" i="47"/>
  <c r="F30" i="47"/>
  <c r="H29" i="47"/>
  <c r="G29" i="47"/>
  <c r="F29" i="47"/>
  <c r="H28" i="47"/>
  <c r="G28" i="47"/>
  <c r="F28" i="47"/>
  <c r="E27" i="47"/>
  <c r="E19" i="46" s="1"/>
  <c r="D27" i="47"/>
  <c r="D19" i="46" s="1"/>
  <c r="C27" i="47"/>
  <c r="B27" i="47"/>
  <c r="B19" i="46" s="1"/>
  <c r="H26" i="47"/>
  <c r="G26" i="47"/>
  <c r="F26" i="47"/>
  <c r="H25" i="47"/>
  <c r="G25" i="47"/>
  <c r="F25" i="47"/>
  <c r="H24" i="47"/>
  <c r="G24" i="47"/>
  <c r="F24" i="47"/>
  <c r="H23" i="47"/>
  <c r="G23" i="47"/>
  <c r="F23" i="47"/>
  <c r="H22" i="47"/>
  <c r="G22" i="47"/>
  <c r="F22" i="47"/>
  <c r="H21" i="47"/>
  <c r="G21" i="47"/>
  <c r="F21" i="47"/>
  <c r="H20" i="47"/>
  <c r="G20" i="47"/>
  <c r="F20" i="47"/>
  <c r="H19" i="47"/>
  <c r="G19" i="47"/>
  <c r="F19" i="47"/>
  <c r="H18" i="47"/>
  <c r="G18" i="47"/>
  <c r="F18" i="47"/>
  <c r="H17" i="47"/>
  <c r="G17" i="47"/>
  <c r="F17" i="47"/>
  <c r="H16" i="47"/>
  <c r="G16" i="47"/>
  <c r="F16" i="47"/>
  <c r="H15" i="47"/>
  <c r="G15" i="47"/>
  <c r="F15" i="47"/>
  <c r="H14" i="47"/>
  <c r="G14" i="47"/>
  <c r="F14" i="47"/>
  <c r="H13" i="47"/>
  <c r="G13" i="47"/>
  <c r="F13" i="47"/>
  <c r="E12" i="47"/>
  <c r="D12" i="47"/>
  <c r="D18" i="46" s="1"/>
  <c r="C12" i="47"/>
  <c r="C18" i="46" s="1"/>
  <c r="B12" i="47"/>
  <c r="B18" i="46" s="1"/>
  <c r="H11" i="47"/>
  <c r="G11" i="47"/>
  <c r="F11" i="47"/>
  <c r="H10" i="47"/>
  <c r="G10" i="47"/>
  <c r="F10" i="47"/>
  <c r="H9" i="47"/>
  <c r="G9" i="47"/>
  <c r="F9" i="47"/>
  <c r="H8" i="47"/>
  <c r="G8" i="47"/>
  <c r="F8" i="47"/>
  <c r="H7" i="47"/>
  <c r="G7" i="47"/>
  <c r="F7" i="47"/>
  <c r="H6" i="47"/>
  <c r="G6" i="47"/>
  <c r="F6" i="47"/>
  <c r="E5" i="47"/>
  <c r="D5" i="47"/>
  <c r="D17" i="46" s="1"/>
  <c r="C5" i="47"/>
  <c r="B5" i="47"/>
  <c r="B17" i="46" s="1"/>
  <c r="H4" i="47"/>
  <c r="G4" i="47"/>
  <c r="F4" i="47"/>
  <c r="H57" i="46"/>
  <c r="G57" i="46"/>
  <c r="F57" i="46"/>
  <c r="H56" i="46"/>
  <c r="G56" i="46"/>
  <c r="F56" i="46"/>
  <c r="H55" i="46"/>
  <c r="G55" i="46"/>
  <c r="F55" i="46"/>
  <c r="H53" i="46"/>
  <c r="G53" i="46"/>
  <c r="F53" i="46"/>
  <c r="H52" i="46"/>
  <c r="G52" i="46"/>
  <c r="F52" i="46"/>
  <c r="E51" i="46"/>
  <c r="E10" i="46" s="1"/>
  <c r="D51" i="46"/>
  <c r="C51" i="46"/>
  <c r="B51" i="46"/>
  <c r="B10" i="46" s="1"/>
  <c r="H50" i="46"/>
  <c r="G50" i="46"/>
  <c r="F50" i="46"/>
  <c r="H49" i="46"/>
  <c r="G49" i="46"/>
  <c r="F49" i="46"/>
  <c r="E48" i="46"/>
  <c r="D48" i="46"/>
  <c r="C48" i="46"/>
  <c r="C9" i="46" s="1"/>
  <c r="B48" i="46"/>
  <c r="H47" i="46"/>
  <c r="G47" i="46"/>
  <c r="F47" i="46"/>
  <c r="H46" i="46"/>
  <c r="G46" i="46"/>
  <c r="F46" i="46"/>
  <c r="H45" i="46"/>
  <c r="G45" i="46"/>
  <c r="F45" i="46"/>
  <c r="H44" i="46"/>
  <c r="G44" i="46"/>
  <c r="F44" i="46"/>
  <c r="H43" i="46"/>
  <c r="G43" i="46"/>
  <c r="F43" i="46"/>
  <c r="H42" i="46"/>
  <c r="G42" i="46"/>
  <c r="F42" i="46"/>
  <c r="H41" i="46"/>
  <c r="G41" i="46"/>
  <c r="F41" i="46"/>
  <c r="H40" i="46"/>
  <c r="G40" i="46"/>
  <c r="F40" i="46"/>
  <c r="H39" i="46"/>
  <c r="G39" i="46"/>
  <c r="F39" i="46"/>
  <c r="E38" i="46"/>
  <c r="D38" i="46"/>
  <c r="C38" i="46"/>
  <c r="C8" i="46" s="1"/>
  <c r="B38" i="46"/>
  <c r="B8" i="46" s="1"/>
  <c r="H37" i="46"/>
  <c r="G37" i="46"/>
  <c r="F37" i="46"/>
  <c r="H36" i="46"/>
  <c r="G36" i="46"/>
  <c r="F36" i="46"/>
  <c r="H35" i="46"/>
  <c r="G35" i="46"/>
  <c r="F35" i="46"/>
  <c r="H34" i="46"/>
  <c r="G34" i="46"/>
  <c r="F34" i="46"/>
  <c r="H33" i="46"/>
  <c r="G33" i="46"/>
  <c r="F33" i="46"/>
  <c r="E32" i="46"/>
  <c r="D32" i="46"/>
  <c r="D58" i="46" s="1"/>
  <c r="C32" i="46"/>
  <c r="C58" i="46" s="1"/>
  <c r="B32" i="46"/>
  <c r="B58" i="46" s="1"/>
  <c r="D15" i="46"/>
  <c r="E11" i="46"/>
  <c r="D11" i="46"/>
  <c r="C11" i="46"/>
  <c r="B11" i="46"/>
  <c r="D10" i="46"/>
  <c r="E9" i="46"/>
  <c r="B9" i="46"/>
  <c r="E8" i="46"/>
  <c r="D8" i="46"/>
  <c r="F27" i="47" l="1"/>
  <c r="C19" i="46"/>
  <c r="F5" i="47"/>
  <c r="C17" i="46"/>
  <c r="G48" i="46"/>
  <c r="H5" i="47"/>
  <c r="E17" i="46"/>
  <c r="E15" i="46" s="1"/>
  <c r="F34" i="47"/>
  <c r="C20" i="46"/>
  <c r="E58" i="46"/>
  <c r="H12" i="47"/>
  <c r="E18" i="46"/>
  <c r="B15" i="46"/>
  <c r="B66" i="47"/>
  <c r="F49" i="47"/>
  <c r="C22" i="46"/>
  <c r="C15" i="46" s="1"/>
  <c r="H49" i="47"/>
  <c r="C7" i="46"/>
  <c r="D9" i="46"/>
  <c r="F48" i="46"/>
  <c r="H40" i="47"/>
  <c r="B7" i="46"/>
  <c r="B6" i="46" s="1"/>
  <c r="B25" i="46" s="1"/>
  <c r="H27" i="47"/>
  <c r="E7" i="46"/>
  <c r="E6" i="46" s="1"/>
  <c r="E25" i="46" s="1"/>
  <c r="G38" i="46"/>
  <c r="F51" i="46"/>
  <c r="H38" i="46"/>
  <c r="D7" i="46"/>
  <c r="D6" i="46" s="1"/>
  <c r="D25" i="46" s="1"/>
  <c r="H51" i="46"/>
  <c r="F12" i="47"/>
  <c r="G27" i="47"/>
  <c r="G49" i="47"/>
  <c r="G12" i="47"/>
  <c r="G34" i="47"/>
  <c r="D66" i="47"/>
  <c r="F40" i="47"/>
  <c r="G40" i="47"/>
  <c r="E66" i="47"/>
  <c r="H34" i="47"/>
  <c r="C66" i="47"/>
  <c r="G5" i="47"/>
  <c r="G58" i="46"/>
  <c r="F58" i="46"/>
  <c r="H58" i="46"/>
  <c r="F38" i="46"/>
  <c r="H48" i="46"/>
  <c r="F32" i="46"/>
  <c r="H32" i="46"/>
  <c r="G51" i="46"/>
  <c r="C10" i="46"/>
  <c r="C6" i="46" s="1"/>
  <c r="G32" i="46"/>
  <c r="C25" i="46" l="1"/>
  <c r="H66" i="47"/>
  <c r="F66" i="47"/>
  <c r="G66" i="47"/>
  <c r="C30" i="29" l="1"/>
  <c r="C23" i="29" l="1"/>
  <c r="C15" i="29"/>
  <c r="J70" i="31" l="1"/>
  <c r="H70" i="31"/>
  <c r="G70" i="31"/>
  <c r="F70" i="31"/>
  <c r="J12" i="31"/>
  <c r="H12" i="31"/>
  <c r="G12" i="31"/>
  <c r="F12" i="31"/>
  <c r="G77" i="31"/>
  <c r="H77" i="31"/>
  <c r="J77" i="31"/>
  <c r="F77" i="31"/>
  <c r="G31" i="31"/>
  <c r="H31" i="31"/>
  <c r="J31" i="31"/>
  <c r="F31" i="31"/>
  <c r="J9" i="31" l="1"/>
  <c r="H9" i="31"/>
  <c r="G9" i="31"/>
  <c r="F9" i="31"/>
  <c r="D83" i="33" l="1"/>
  <c r="E83" i="33"/>
  <c r="F83" i="33"/>
  <c r="H82" i="33"/>
  <c r="C83" i="33" s="1"/>
  <c r="D106" i="33"/>
  <c r="E106" i="33"/>
  <c r="F106" i="33"/>
  <c r="H105" i="33"/>
  <c r="H104" i="33"/>
  <c r="H103" i="33"/>
  <c r="H102" i="33"/>
  <c r="H100" i="33"/>
  <c r="D96" i="33"/>
  <c r="E96" i="33"/>
  <c r="F96" i="33"/>
  <c r="H95" i="33"/>
  <c r="H94" i="33"/>
  <c r="H93" i="33"/>
  <c r="H91" i="33"/>
  <c r="H90" i="33"/>
  <c r="H89" i="33"/>
  <c r="H88" i="33"/>
  <c r="H87" i="33"/>
  <c r="H86" i="33"/>
  <c r="H85" i="33"/>
  <c r="D80" i="33"/>
  <c r="E80" i="33"/>
  <c r="F80" i="33"/>
  <c r="H79" i="33"/>
  <c r="H78" i="33"/>
  <c r="H77" i="33"/>
  <c r="H76" i="33"/>
  <c r="H75" i="33"/>
  <c r="H74" i="33"/>
  <c r="H73" i="33"/>
  <c r="H72" i="33"/>
  <c r="H71" i="33"/>
  <c r="H70" i="33"/>
  <c r="H69" i="33"/>
  <c r="H68" i="33"/>
  <c r="H67" i="33"/>
  <c r="H66" i="33"/>
  <c r="H65" i="33"/>
  <c r="H64" i="33"/>
  <c r="H63" i="33"/>
  <c r="H62" i="33"/>
  <c r="H61" i="33"/>
  <c r="H60" i="33"/>
  <c r="H59" i="33"/>
  <c r="H58" i="33"/>
  <c r="H57" i="33"/>
  <c r="H56" i="33"/>
  <c r="H55" i="33"/>
  <c r="H54" i="33"/>
  <c r="D52" i="33"/>
  <c r="E52" i="33"/>
  <c r="F52" i="33"/>
  <c r="D35" i="33"/>
  <c r="E35" i="33"/>
  <c r="F35" i="33"/>
  <c r="H51" i="33"/>
  <c r="H50" i="33"/>
  <c r="H49" i="33"/>
  <c r="H48" i="33"/>
  <c r="H47" i="33"/>
  <c r="H46" i="33"/>
  <c r="H45" i="33"/>
  <c r="H44" i="33"/>
  <c r="H43" i="33"/>
  <c r="H42" i="33"/>
  <c r="H41" i="33"/>
  <c r="H40" i="33"/>
  <c r="H39" i="33"/>
  <c r="H38" i="33"/>
  <c r="H37" i="33"/>
  <c r="H34" i="33"/>
  <c r="D32" i="33"/>
  <c r="E32" i="33"/>
  <c r="F32" i="33"/>
  <c r="H31" i="33"/>
  <c r="H30" i="33"/>
  <c r="H29" i="33"/>
  <c r="D22" i="33"/>
  <c r="E22" i="33"/>
  <c r="F22" i="33"/>
  <c r="D27" i="33"/>
  <c r="E27" i="33"/>
  <c r="F27" i="33"/>
  <c r="H26" i="33"/>
  <c r="H25" i="33"/>
  <c r="H24" i="33"/>
  <c r="D18" i="33"/>
  <c r="E18" i="33"/>
  <c r="F18" i="33"/>
  <c r="H21" i="33"/>
  <c r="H20" i="33"/>
  <c r="H17" i="33"/>
  <c r="H16" i="33"/>
  <c r="H15" i="33"/>
  <c r="H14" i="33"/>
  <c r="H13" i="33"/>
  <c r="H12" i="33"/>
  <c r="H11" i="33"/>
  <c r="H10" i="33"/>
  <c r="D8" i="33"/>
  <c r="E8" i="33"/>
  <c r="F8" i="33"/>
  <c r="H8" i="33"/>
  <c r="C8" i="33"/>
  <c r="G91" i="33" l="1"/>
  <c r="G90" i="33"/>
  <c r="G89" i="33"/>
  <c r="G88" i="33"/>
  <c r="G87" i="33"/>
  <c r="G86" i="33"/>
  <c r="G85" i="33"/>
  <c r="G79" i="33"/>
  <c r="G78" i="33"/>
  <c r="G77" i="33"/>
  <c r="G76" i="33"/>
  <c r="G75" i="33"/>
  <c r="G74" i="33"/>
  <c r="G73" i="33"/>
  <c r="G72" i="33"/>
  <c r="G71" i="33"/>
  <c r="G70" i="33"/>
  <c r="G69" i="33"/>
  <c r="G68" i="33"/>
  <c r="G67" i="33"/>
  <c r="G66" i="33"/>
  <c r="G65" i="33"/>
  <c r="G64" i="33"/>
  <c r="G63" i="33"/>
  <c r="G62" i="33"/>
  <c r="G61" i="33"/>
  <c r="G60" i="33"/>
  <c r="G59" i="33"/>
  <c r="G58" i="33"/>
  <c r="G57" i="33"/>
  <c r="G56" i="33"/>
  <c r="G55" i="33"/>
  <c r="G54" i="33"/>
  <c r="G51" i="33"/>
  <c r="G50" i="33"/>
  <c r="G49" i="33"/>
  <c r="G48" i="33"/>
  <c r="G47" i="33"/>
  <c r="G52" i="33" s="1"/>
  <c r="G25" i="33"/>
  <c r="G24" i="33"/>
  <c r="G27" i="33" s="1"/>
  <c r="D108" i="33"/>
  <c r="F108" i="33"/>
  <c r="E108" i="33"/>
  <c r="H83" i="33"/>
  <c r="C106" i="33"/>
  <c r="C96" i="33"/>
  <c r="H106" i="33"/>
  <c r="H96" i="33"/>
  <c r="H80" i="33"/>
  <c r="H52" i="33"/>
  <c r="C35" i="33"/>
  <c r="H35" i="33"/>
  <c r="C22" i="33"/>
  <c r="C27" i="33"/>
  <c r="C32" i="33"/>
  <c r="H32" i="33"/>
  <c r="H27" i="33"/>
  <c r="H22" i="33"/>
  <c r="H18" i="33"/>
  <c r="C18" i="33"/>
  <c r="G96" i="33" l="1"/>
  <c r="C80" i="33"/>
  <c r="G80" i="33"/>
  <c r="G108" i="33" s="1"/>
  <c r="C52" i="33"/>
  <c r="H108" i="33"/>
  <c r="C108" i="33" l="1"/>
  <c r="D148" i="41"/>
  <c r="E148" i="41"/>
  <c r="F148" i="41"/>
  <c r="D142" i="41"/>
  <c r="E142" i="41"/>
  <c r="F142" i="41"/>
  <c r="C141" i="41"/>
  <c r="C140" i="41"/>
  <c r="D138" i="41"/>
  <c r="E138" i="41"/>
  <c r="F138" i="41"/>
  <c r="C131" i="41"/>
  <c r="C132" i="41"/>
  <c r="C134" i="41"/>
  <c r="C135" i="41"/>
  <c r="C136" i="41"/>
  <c r="C137" i="41"/>
  <c r="C130" i="41"/>
  <c r="D125" i="41"/>
  <c r="E125" i="41"/>
  <c r="F125" i="41"/>
  <c r="C120" i="41"/>
  <c r="C122" i="41"/>
  <c r="C124" i="41"/>
  <c r="C119" i="41"/>
  <c r="C112" i="41"/>
  <c r="C114" i="41"/>
  <c r="C115" i="41"/>
  <c r="C116" i="41"/>
  <c r="C111" i="41"/>
  <c r="C108" i="41"/>
  <c r="C94" i="41"/>
  <c r="C95" i="41"/>
  <c r="C96" i="41"/>
  <c r="C97" i="41"/>
  <c r="C98" i="41"/>
  <c r="C100" i="41"/>
  <c r="C101" i="41"/>
  <c r="C102" i="41"/>
  <c r="C103" i="41"/>
  <c r="C104" i="41"/>
  <c r="C105" i="41"/>
  <c r="C106" i="41"/>
  <c r="C107" i="41"/>
  <c r="C93" i="41"/>
  <c r="C84" i="41"/>
  <c r="C83" i="41"/>
  <c r="C79" i="41"/>
  <c r="C80" i="41"/>
  <c r="D75" i="41"/>
  <c r="E75" i="41"/>
  <c r="F75" i="41"/>
  <c r="C74" i="41"/>
  <c r="C71" i="41"/>
  <c r="D69" i="41"/>
  <c r="E69" i="41"/>
  <c r="F69" i="41"/>
  <c r="D42" i="41"/>
  <c r="E42" i="41"/>
  <c r="F42" i="41"/>
  <c r="F128" i="41"/>
  <c r="E128" i="41"/>
  <c r="D128" i="41"/>
  <c r="F117" i="41"/>
  <c r="E117" i="41"/>
  <c r="D117" i="41"/>
  <c r="F109" i="41"/>
  <c r="E109" i="41"/>
  <c r="D109" i="41"/>
  <c r="F88" i="41"/>
  <c r="E88" i="41"/>
  <c r="D88" i="41"/>
  <c r="F85" i="41"/>
  <c r="E85" i="41"/>
  <c r="D85" i="41"/>
  <c r="F81" i="41"/>
  <c r="E81" i="41"/>
  <c r="D81" i="41"/>
  <c r="F71" i="41"/>
  <c r="E71" i="41"/>
  <c r="D71" i="41"/>
  <c r="F91" i="41"/>
  <c r="E91" i="41"/>
  <c r="D91" i="41"/>
  <c r="F29" i="41"/>
  <c r="E29" i="41"/>
  <c r="D29" i="41"/>
  <c r="F12" i="41"/>
  <c r="E12" i="41"/>
  <c r="D12" i="41"/>
  <c r="H88" i="41" l="1"/>
  <c r="C87" i="41"/>
  <c r="C88" i="41" s="1"/>
  <c r="C147" i="41"/>
  <c r="C148" i="41" s="1"/>
  <c r="G125" i="41"/>
  <c r="C123" i="41"/>
  <c r="C125" i="41" s="1"/>
  <c r="G81" i="41"/>
  <c r="C78" i="41"/>
  <c r="C81" i="41" s="1"/>
  <c r="G109" i="41"/>
  <c r="C99" i="41"/>
  <c r="C109" i="41" s="1"/>
  <c r="G128" i="41"/>
  <c r="C127" i="41"/>
  <c r="G117" i="41"/>
  <c r="C113" i="41"/>
  <c r="C117" i="41" s="1"/>
  <c r="G138" i="41"/>
  <c r="C133" i="41"/>
  <c r="C138" i="41" s="1"/>
  <c r="H109" i="41"/>
  <c r="H81" i="41"/>
  <c r="H85" i="41"/>
  <c r="H148" i="41"/>
  <c r="E76" i="41"/>
  <c r="E150" i="41" s="1"/>
  <c r="C85" i="41"/>
  <c r="H142" i="41"/>
  <c r="C12" i="41"/>
  <c r="H12" i="41"/>
  <c r="H29" i="41"/>
  <c r="C29" i="41"/>
  <c r="H69" i="41"/>
  <c r="H117" i="41"/>
  <c r="H128" i="41"/>
  <c r="H75" i="41"/>
  <c r="C142" i="41"/>
  <c r="H125" i="41"/>
  <c r="H138" i="41"/>
  <c r="H71" i="41"/>
  <c r="C128" i="41"/>
  <c r="C75" i="41"/>
  <c r="F76" i="41"/>
  <c r="F150" i="41" s="1"/>
  <c r="D76" i="41"/>
  <c r="D150" i="41" s="1"/>
  <c r="C69" i="41"/>
  <c r="G150" i="41" l="1"/>
  <c r="C91" i="41"/>
  <c r="H91" i="41"/>
  <c r="C42" i="41"/>
  <c r="C76" i="41" s="1"/>
  <c r="H42" i="41"/>
  <c r="H76" i="41" s="1"/>
  <c r="H150" i="41" s="1"/>
  <c r="C150" i="41" l="1"/>
  <c r="D8" i="29"/>
  <c r="D58" i="29" s="1"/>
  <c r="E8" i="29"/>
  <c r="E58" i="29" s="1"/>
  <c r="F8" i="29"/>
  <c r="F58" i="29" s="1"/>
  <c r="H8" i="29"/>
  <c r="H58" i="29" s="1"/>
  <c r="J87" i="31" l="1"/>
  <c r="H87" i="31"/>
  <c r="G87" i="31"/>
  <c r="F87" i="31"/>
  <c r="J67" i="31"/>
  <c r="H67" i="31"/>
  <c r="G67" i="31"/>
  <c r="F67" i="31"/>
  <c r="J48" i="31"/>
  <c r="H48" i="31"/>
  <c r="G48" i="31"/>
  <c r="F48" i="31"/>
  <c r="J34" i="31"/>
  <c r="H34" i="31"/>
  <c r="G34" i="31"/>
  <c r="F34" i="31"/>
  <c r="J15" i="31"/>
  <c r="H15" i="31"/>
  <c r="G15" i="31"/>
  <c r="F15" i="31"/>
  <c r="G89" i="31" l="1"/>
  <c r="H89" i="31"/>
  <c r="F89" i="31"/>
  <c r="J89" i="31"/>
  <c r="C8" i="29"/>
  <c r="C58" i="29" s="1"/>
</calcChain>
</file>

<file path=xl/sharedStrings.xml><?xml version="1.0" encoding="utf-8"?>
<sst xmlns="http://schemas.openxmlformats.org/spreadsheetml/2006/main" count="1421" uniqueCount="941">
  <si>
    <t>BILANCE v tis. Kč</t>
  </si>
  <si>
    <t xml:space="preserve">PŘÍJMY CELKEM </t>
  </si>
  <si>
    <t>Daňové příjmy</t>
  </si>
  <si>
    <t>Nedaňové příjmy</t>
  </si>
  <si>
    <t>Kapitálové příjmy</t>
  </si>
  <si>
    <t>FINANCOVÁNÍ CELKEM (další zdroje rozpočtu)</t>
  </si>
  <si>
    <t>x</t>
  </si>
  <si>
    <t>VÝDAJE CELKEM</t>
  </si>
  <si>
    <t>Běžné výdaje na zastupitelstvo kraje a krajský úřad</t>
  </si>
  <si>
    <t>Finance a správa majetku</t>
  </si>
  <si>
    <t>Příspěvek na provoz příspěvkovým organizacím</t>
  </si>
  <si>
    <t>SALDO ROZPOČTU CELKEM</t>
  </si>
  <si>
    <t>PŘÍJMY v tis. Kč</t>
  </si>
  <si>
    <t xml:space="preserve"> - příjmy ze sdílených daní celkem</t>
  </si>
  <si>
    <t xml:space="preserve"> - daň z příjmů právnických osob za kraj</t>
  </si>
  <si>
    <t xml:space="preserve"> - správní poplatky</t>
  </si>
  <si>
    <t xml:space="preserve"> - příjmy z úroků</t>
  </si>
  <si>
    <t xml:space="preserve"> - příspěvek od HMMC na zabezpečení úkolů jednotky požární ochrany </t>
  </si>
  <si>
    <t xml:space="preserve"> - poplatky za odběr podzemní vody</t>
  </si>
  <si>
    <t xml:space="preserve"> - příjmy za věcná břemena</t>
  </si>
  <si>
    <t xml:space="preserve"> - ostatní nedaňové příjmy</t>
  </si>
  <si>
    <t xml:space="preserve"> - příjmy z prodeje nemovitostí</t>
  </si>
  <si>
    <t>Přijaté transfery</t>
  </si>
  <si>
    <t>VÝDAJE v tis. Kč</t>
  </si>
  <si>
    <t xml:space="preserve"> - platby daní</t>
  </si>
  <si>
    <t xml:space="preserve"> - hrazené úroky z úvěrů</t>
  </si>
  <si>
    <t xml:space="preserve"> - poplatky z bankovních účtů</t>
  </si>
  <si>
    <t xml:space="preserve"> - pojištění majetku a odpovědnosti kraje</t>
  </si>
  <si>
    <t xml:space="preserve"> - rezerva na mimořádné akce a akce s nedořešeným financováním</t>
  </si>
  <si>
    <t xml:space="preserve"> - ostatní</t>
  </si>
  <si>
    <t xml:space="preserve"> - krizové řízení</t>
  </si>
  <si>
    <t xml:space="preserve"> - kultura</t>
  </si>
  <si>
    <t xml:space="preserve"> - prezentace kraje a ediční plán</t>
  </si>
  <si>
    <t xml:space="preserve"> - regionální rozvoj</t>
  </si>
  <si>
    <t xml:space="preserve"> - cestovní ruch</t>
  </si>
  <si>
    <t xml:space="preserve"> - sociální věci</t>
  </si>
  <si>
    <t xml:space="preserve"> - školství</t>
  </si>
  <si>
    <t xml:space="preserve"> - územní plánování a stavební řád</t>
  </si>
  <si>
    <t xml:space="preserve"> - zdravotnictví</t>
  </si>
  <si>
    <t xml:space="preserve"> - životní prostředí</t>
  </si>
  <si>
    <t xml:space="preserve">Reprodukce majetku kraje vyjma akcí spolufinancovaných z evr. fin. zdrojů </t>
  </si>
  <si>
    <t xml:space="preserve"> - finance a správa majetku</t>
  </si>
  <si>
    <t xml:space="preserve"> - dotace na akce spolufinancované z evropských fin. zdrojů</t>
  </si>
  <si>
    <t>PŘÍJMY CELKEM</t>
  </si>
  <si>
    <t>Výhled</t>
  </si>
  <si>
    <t>Čerpání úvěrů</t>
  </si>
  <si>
    <t>Splátky úvěrů</t>
  </si>
  <si>
    <t>Ostatní (zapojení zůstatku minulého roku, fondů)</t>
  </si>
  <si>
    <t>Tabulka č. 1</t>
  </si>
  <si>
    <t>Samosprávné a jiné činnosti zajišťované prostřednictvím KÚ</t>
  </si>
  <si>
    <t>Reprodukce majetku kraje vyjma akcí spolufinancovaných z evr.fin.zdrojů</t>
  </si>
  <si>
    <t>Výdaje na akce spolufinancované z evropských finančních zdrojů</t>
  </si>
  <si>
    <t>Návratné finanční výpomoci příspěvkovým organizacím</t>
  </si>
  <si>
    <t>Akce spolufinancované z evropských finančních zdrojů</t>
  </si>
  <si>
    <t xml:space="preserve"> - poplatky za znečištění ovzduší</t>
  </si>
  <si>
    <t xml:space="preserve"> - vrácené prostředky na základě operačních smluv s Fondy rozvoje měst</t>
  </si>
  <si>
    <t xml:space="preserve"> - krajský úřad a zastupitelstvo kraje</t>
  </si>
  <si>
    <t>Očekávané účelové dotace ze státního rozpočtu</t>
  </si>
  <si>
    <t>Střednědobý výhled rozpočtu Moravskoslezského kraje</t>
  </si>
  <si>
    <t>Tabulka č. 2</t>
  </si>
  <si>
    <t>Tabulka č. 3</t>
  </si>
  <si>
    <t>Tabulka č. 4</t>
  </si>
  <si>
    <t>Tabulka č. 5</t>
  </si>
  <si>
    <t>Tabulka č. 6</t>
  </si>
  <si>
    <t>Tabulka č. 7</t>
  </si>
  <si>
    <t>Tabulka č. 8</t>
  </si>
  <si>
    <t>TABULKOVÁ ČÁST</t>
  </si>
  <si>
    <t>Přehled splácení jistiny a úroků z úvěrů čerpaných Moravskoslezským krajem</t>
  </si>
  <si>
    <t>Ukazatel zadluženosti dle Moody´s Investors Service</t>
  </si>
  <si>
    <t>Fiskální pravidlo dle zákona č. 23/2017 Sb., o pravidlech rozpočtové odpovědnosti</t>
  </si>
  <si>
    <t>Účel dotace</t>
  </si>
  <si>
    <t>ÚZ</t>
  </si>
  <si>
    <t>Očekávaná výše dotace (v tis. Kč)</t>
  </si>
  <si>
    <t>Dotace zahrnuté do schvalovaných rozpočtů MSK celkem</t>
  </si>
  <si>
    <t xml:space="preserve"> - z toho:</t>
  </si>
  <si>
    <t>Očekávané účelové dotace ze státního rozpočtu nezapojované do schvalovaných rozpočtů MSK celkem</t>
  </si>
  <si>
    <t>Podpora koordinátorů romských poradců</t>
  </si>
  <si>
    <t>ÚŘAD VLÁDY</t>
  </si>
  <si>
    <t>Neinvestiční nedávkové transfery podle zákona č. 108/2006 Sb., o sociálních službách (§ 101, § 102 a § 103)</t>
  </si>
  <si>
    <t>Transfery na státní příspěvek zřizovatelům zařízení pro děti vyžadující okamžitou pomoc</t>
  </si>
  <si>
    <t>MINISTERSTVO PRÁCE A SOCIÁLNÍCH VĚCÍ</t>
  </si>
  <si>
    <t>Připravenost poskytovatele ZZS na řešení mimořádných událostí a krizových situací</t>
  </si>
  <si>
    <t>Specializační vzdělávání zdravotnických pracovníků - rezidenční místa - neinvestice a Specializační vzdělávání nelékařů</t>
  </si>
  <si>
    <t>35015, 35019</t>
  </si>
  <si>
    <t>MINISTERSTVO ZDRAVOTNICTVÍ</t>
  </si>
  <si>
    <t>Dotace pro soukromé školy</t>
  </si>
  <si>
    <t>Program sociální prevence a prevence kriminality</t>
  </si>
  <si>
    <t>Projekty romské komunity</t>
  </si>
  <si>
    <t>Přímé náklady na vzdělávání</t>
  </si>
  <si>
    <t>Přímé náklady na vzdělávání - sportovní gymnázia</t>
  </si>
  <si>
    <t>Soutěže</t>
  </si>
  <si>
    <t>Spolupráce s francouzskými, vlámskými a španělskými školami</t>
  </si>
  <si>
    <t>MINISTERSTVO ŠKOLSTVÍ, MLÁDEŽE A SPORTU</t>
  </si>
  <si>
    <t>Kulturní aktivity</t>
  </si>
  <si>
    <t>Veřejné informační služby knihoven</t>
  </si>
  <si>
    <t>34053, 34544</t>
  </si>
  <si>
    <t>Program restaurování movitých kulturních památek</t>
  </si>
  <si>
    <t>Program státní podpory profesionálních divadel a stálých profesionálních symfonických orchestrů a pěveckých sborů</t>
  </si>
  <si>
    <t>MINISTERSTVO KULTURY</t>
  </si>
  <si>
    <t xml:space="preserve">CELKEM </t>
  </si>
  <si>
    <t>PŘEHLED VÝDAJŮ NA ZAJIŠTĚNÍ UDRŽITELNOSTI AKCÍ SPOLUFINANCOVANÝCH Z EVROPSKÝCH FINANČNÍCH ZDROJŮ</t>
  </si>
  <si>
    <t>v tis. Kč</t>
  </si>
  <si>
    <t>Celkové výdaje na akci (způsobilé a nezpůsobilé)</t>
  </si>
  <si>
    <t>Výdaje na udržitelnost</t>
  </si>
  <si>
    <t>ODVĚTVÍ FINANCÍ A SPRÁVY MAJETKU:</t>
  </si>
  <si>
    <t>2017 - 2020</t>
  </si>
  <si>
    <t>ODVĚTVÍ FINANCÍ A SPRÁVY MAJETKU CELKEM</t>
  </si>
  <si>
    <t>ODVĚTVÍ KULTURY:</t>
  </si>
  <si>
    <t>Muzeum automobilů TATRA</t>
  </si>
  <si>
    <t>2016 - 2020</t>
  </si>
  <si>
    <t>Rekonstrukce výstavní budovy a nová expozice Muzea Těšínska</t>
  </si>
  <si>
    <t>Zámek Nová Horka - muzeum pro veřejnost</t>
  </si>
  <si>
    <t>ODVĚTVÍ KULTURY CELKEM</t>
  </si>
  <si>
    <t>ODVĚTVÍ CESTOVNÍHO RUCHU:</t>
  </si>
  <si>
    <t>2018 - 2021</t>
  </si>
  <si>
    <t>ODVĚTVÍ CESTOVNÍHO RUCHU CELKEM</t>
  </si>
  <si>
    <t>ODVĚTVÍ REGIONÁLNÍHO ROZVOJE:</t>
  </si>
  <si>
    <t>ODVĚTVÍ REGIONÁLNÍHO ROZVOJE CELKEM</t>
  </si>
  <si>
    <t>ODVĚTVÍ SOCIÁLNÍCH VĚCÍ:</t>
  </si>
  <si>
    <t>Domov pro osoby se zdravotním postižením Harmonie, p. o.</t>
  </si>
  <si>
    <t>Domov pro osoby se zdravotním postižením organizace Sagapo v Bruntále</t>
  </si>
  <si>
    <t>Chráněné bydlení organizace Sagapo v Bruntále</t>
  </si>
  <si>
    <t>Sociálně terapeutické dílny a zázemí pro vedení organizace Sagapo v Bruntále</t>
  </si>
  <si>
    <t>Sociální služby pro osoby s duševním onemocněním v Suchdolu nad Odrou</t>
  </si>
  <si>
    <t>ODVĚTVÍ SOCIÁLNÍCH VĚCÍ CELKEM</t>
  </si>
  <si>
    <t>ODVĚTVÍ ŠKOLSTVÍ:</t>
  </si>
  <si>
    <t>ODVĚTVÍ ŠKOLSTVÍ CELKEM</t>
  </si>
  <si>
    <t>ODVĚTVÍ ZDRAVOTNICTVÍ:</t>
  </si>
  <si>
    <t>ODVĚTVÍ ZDRAVOTNICTVÍ CELKEM</t>
  </si>
  <si>
    <t>EVL Hukvaldy, tvorba biotopu páchníka hnědého</t>
  </si>
  <si>
    <t>EVL Paskov, tvorba biotopu páchníka hnědého</t>
  </si>
  <si>
    <t>EVL Šilheřovice, tvorba biotopu páchníka hnědého</t>
  </si>
  <si>
    <t>i-AIR REGION</t>
  </si>
  <si>
    <t>ODVĚTVÍ ŽIVOTNÍHO PROSTŘEDÍ CELKEM</t>
  </si>
  <si>
    <t>CELKEM</t>
  </si>
  <si>
    <t>Instituce</t>
  </si>
  <si>
    <t>Celkem</t>
  </si>
  <si>
    <t>rok</t>
  </si>
  <si>
    <t>dlužná částka
na konci roku</t>
  </si>
  <si>
    <t>splátka jistiny</t>
  </si>
  <si>
    <t>úrok</t>
  </si>
  <si>
    <t>dlužná částka na konci roku</t>
  </si>
  <si>
    <t>Název akce</t>
  </si>
  <si>
    <t>Číslo akce</t>
  </si>
  <si>
    <t>Závazky celkem</t>
  </si>
  <si>
    <t xml:space="preserve">Poznámka                                                    </t>
  </si>
  <si>
    <t>Realizace energetických úspor metodou EPC ve vybraných objektech Moravskoslezského kraje</t>
  </si>
  <si>
    <t>ODVĚTVÍ KRIZOVÉHO ŘÍZENÍ:</t>
  </si>
  <si>
    <t>ODVĚTVÍ KRIZOVÉHO ŘÍZENÍ CELKEM</t>
  </si>
  <si>
    <t>Výstavba domova pro seniory a domova se zvláštním režimem Kopřivnice</t>
  </si>
  <si>
    <t>Nemocnice s poliklinikou v Novém Jičíně – reinvestiční část nájemného a opravy</t>
  </si>
  <si>
    <t>Nemocnice Havířov - ČOV (Nemocnice s poliklinikou Havířov, příspěvková organizace)</t>
  </si>
  <si>
    <t>Pavilon L - stavební úpravy (Slezská nemocnice v Opavě, příspěvková organizace)</t>
  </si>
  <si>
    <t xml:space="preserve">Poznámka                                                           </t>
  </si>
  <si>
    <t>ODVĚTVÍ VLASTNÍ SPRÁVNÍ ČINNOST KRAJE A ČINNOST ZASTUPITELSTVA KRAJE:</t>
  </si>
  <si>
    <t>ODVĚTVÍ VLASTNÍ SPRÁVNÍ ČINNOST KRAJE A ČINNOST ZASTUPITELSTVA KRAJE CELKEM</t>
  </si>
  <si>
    <t>Modernizace technicko-výcvikové základny Hranečník</t>
  </si>
  <si>
    <t>Rozvoj ICT a služeb v prostředí IZS</t>
  </si>
  <si>
    <t>Vybudování komunikační platformy krizového řízení</t>
  </si>
  <si>
    <t>Vybudování expozice muzea Těšínska v Jablunkově "Muzeum Trojmezí"</t>
  </si>
  <si>
    <t>ODVĚTVÍ ŽIVOTNÍHO PROSTŘEDÍ:</t>
  </si>
  <si>
    <t>Zpracovaní ratingu Moravskoslezského kraje</t>
  </si>
  <si>
    <t>Zajištění centrálního pojištění nemovitého, movitého majetku, vozidel a odpovědnosti Moravskoslezského kraje a jeho organizací</t>
  </si>
  <si>
    <t>Platba poplatků z bankovních účtů</t>
  </si>
  <si>
    <t>Smlouva o financování projektu Moravia-Silesia Regional Infra II - úvěrový rámce od Evropské investiční banky II - splátky jistin</t>
  </si>
  <si>
    <t>Smlouva o financování projektu Moravia-Silesia Regional Infra II - úvěrový rámce od Evropské investiční banky II - platba úroků</t>
  </si>
  <si>
    <t>Zajištění financování drážní dopravy - prodloužení termínu platnosti Smlouvy o závazku veřejné služby v drážní dopravě k zajištění dopravní obslužnosti - linky zajišťované vozidly pořízenými s využitím prostředků z ERDF</t>
  </si>
  <si>
    <t>Zajištění financování drážní dopravy - prodloužení termínu platnosti Smlouvy o závazku veřejné služby v drážní dopravě k zajištění dopravní obslužnosti - ve vztahu k lince S2 Bohumín - Mošnov, Ostrava Airport</t>
  </si>
  <si>
    <t>Zajištění dopravní obslužnosti linkovou dopravou - oblast Jablunkovsko - Třinecko</t>
  </si>
  <si>
    <t>Zajištění dopravní obslužnosti linkovou dopravou - oblast Českotěšínsko</t>
  </si>
  <si>
    <t>Smlouva o finanční spolupráci ve veřejné linkové dopravě mezi Moravskoslezským krajem a Olomouckým krajem</t>
  </si>
  <si>
    <t>Zajištění dopravní obslužnosti linkovou dopravou - oblast Karvinsko</t>
  </si>
  <si>
    <t>Zajištění dopravní obslužnosti linkovou dopravou - oblast Orlovsko</t>
  </si>
  <si>
    <t>Zajištění dopravní obslužnosti linkovou dopravou - oblast Frýdlantsko</t>
  </si>
  <si>
    <t>Zajištění dopravní obslužnosti linkovou dopravou - oblast Novojičínsko východ</t>
  </si>
  <si>
    <t>Zajištění dopravní obslužnosti linkovou dopravou - oblast Novojičínsko západ</t>
  </si>
  <si>
    <t>Zajištění dopravní obslužnosti linkovou dopravou - oblast Bílovecko</t>
  </si>
  <si>
    <t>Zajištění dopravní obslužnosti linkovou dopravou - oblast Hlučínsko</t>
  </si>
  <si>
    <t>Zajištění dopravní obslužnosti linkovou dopravou - oblast Krnovsko</t>
  </si>
  <si>
    <t>Zajištění dopravní obslužnosti linkovou dopravou - oblast Opavsko</t>
  </si>
  <si>
    <t>Zajištění dopravní obslužnosti linkovou dopravou - oblast Rýmařovsko</t>
  </si>
  <si>
    <t>Zajištění dopravní obslužnosti linkovou dopravou - oblast Vítkovsko</t>
  </si>
  <si>
    <t>Zajištění dopravní obslužnosti linkovou dopravou - oblast Bruntálsko</t>
  </si>
  <si>
    <t>Závazek  k technickému zhodnocení majetku "I. etapa stará interna" (Nemocnice Nový Jičín)</t>
  </si>
  <si>
    <t>Vypořádání zůstatkové hodnoty technického zhodnocení majetku v rámci stavby "Rekonstrukce budovy ředitelství - umístění veřejné lékárny" (Nemocnice Nový Jičín)</t>
  </si>
  <si>
    <t>Chráněné části přírody</t>
  </si>
  <si>
    <t xml:space="preserve">PŘEHLED OSTATNÍCH DLOUHODOBÝCH ZÁVAZKŮ KRAJE  </t>
  </si>
  <si>
    <t>Požadavek na rozpočet kraje</t>
  </si>
  <si>
    <t>Zálohové platby u projektů spolufinancovaných zálohově
z evropských finančních zdrojů</t>
  </si>
  <si>
    <t>Výdaje financované z očekávaných účelových dotací ze státního rozpočtu mimo zálohové platby</t>
  </si>
  <si>
    <t>Závazek Moravskoslezského kraje vznikl na základě Smlouvy o poskytování energetických služeb se zaručeným výsledkem č. 00481/2012/IM, vč. dodatků. Jedná se o náklady za realizaci investičních opatření, včetně úhrady úroků a služeb za energetický management. Závazek trvá do roku 2023.</t>
  </si>
  <si>
    <t xml:space="preserve">Závazek Moravskoslezského kraje vznikl na základě Smlouvy o nájmu podniku č. 02262/2011/ZDR, vč. dodatků. Závazek trvá do roku 2032.   </t>
  </si>
  <si>
    <t>Členský příspěvek v Evropskému seskupení pro územní spolupráci TRITIA</t>
  </si>
  <si>
    <t>Členský příspěvek v zájmovém sdružení právnických osob Trojhalí Karolina</t>
  </si>
  <si>
    <t>Stálá expozice historických dopravních prostředků s restaurátorskou dílnou</t>
  </si>
  <si>
    <t>Členský příspěvek v zájmovém sdružení právnických osob Evropská kulturní stezka sv. Cyrila a Metoděje</t>
  </si>
  <si>
    <t>Závazek Moravskoslezského kraje byl schválen usnesením zastupitelstva kraje č. 2/91 ze dne 20.12.2012. K datu řádného ukončení smlouvy o nájmu podniku k 31.12.2031 činí závazek ve výši 31 mil. Kč.</t>
  </si>
  <si>
    <t>název</t>
  </si>
  <si>
    <r>
      <t>2019</t>
    </r>
    <r>
      <rPr>
        <b/>
        <vertAlign val="superscript"/>
        <sz val="10"/>
        <rFont val="Tahoma"/>
        <family val="2"/>
        <charset val="238"/>
      </rPr>
      <t xml:space="preserve"> 1)</t>
    </r>
  </si>
  <si>
    <r>
      <t>2020</t>
    </r>
    <r>
      <rPr>
        <b/>
        <vertAlign val="superscript"/>
        <sz val="10"/>
        <rFont val="Tahoma"/>
        <family val="2"/>
        <charset val="238"/>
      </rPr>
      <t xml:space="preserve"> 1)</t>
    </r>
  </si>
  <si>
    <r>
      <t>2021</t>
    </r>
    <r>
      <rPr>
        <b/>
        <vertAlign val="superscript"/>
        <sz val="10"/>
        <rFont val="Tahoma"/>
        <family val="2"/>
        <charset val="238"/>
      </rPr>
      <t xml:space="preserve"> 1)</t>
    </r>
  </si>
  <si>
    <t>daňové příjmy</t>
  </si>
  <si>
    <t>nedaňové příjmy</t>
  </si>
  <si>
    <t>provozní dotace vč. provozního přebytku minulých let</t>
  </si>
  <si>
    <t>PROVOZNÍ PŘÍJMY</t>
  </si>
  <si>
    <t>Provozní příjmy</t>
  </si>
  <si>
    <r>
      <t>DLUH</t>
    </r>
    <r>
      <rPr>
        <sz val="10"/>
        <rFont val="Tahoma"/>
        <family val="2"/>
        <charset val="238"/>
      </rPr>
      <t xml:space="preserve">, tj. zůstatky nesplacených úvěrů a návratných finančních výpomocí k rozvahovému dni 31.12.20xx </t>
    </r>
  </si>
  <si>
    <t>DLUH K PROVOZNÍM PŘÍJMŮM</t>
  </si>
  <si>
    <t>Celková zadluženost (v %)</t>
  </si>
  <si>
    <t>1)</t>
  </si>
  <si>
    <t>Pro léta 2013 a 2014 se jedná o očekávanou skutečnost k 31.12.20xx</t>
  </si>
  <si>
    <t>2)</t>
  </si>
  <si>
    <t>Pro léta 2015 až 2017 jsou uváděny hodnoty rozpočtového výhledu</t>
  </si>
  <si>
    <t>finanční závazky</t>
  </si>
  <si>
    <t>poskytnuté záruky</t>
  </si>
  <si>
    <t>fin. leasing</t>
  </si>
  <si>
    <t>CELKOVÉ ZADLUŽENÍ</t>
  </si>
  <si>
    <t>uhrazené splátky jistin úvěrů, dluhopisů a splátky fin. leasingu</t>
  </si>
  <si>
    <t xml:space="preserve">platby úroků </t>
  </si>
  <si>
    <t>VÝDAJE NA DLUHOVOU SLUŽBU</t>
  </si>
  <si>
    <t>běžné výdaje</t>
  </si>
  <si>
    <t>PROVOZNÍ VÝDAJE</t>
  </si>
  <si>
    <t>HRUBÝ PROVOZNÍ PŘEBYTEK</t>
  </si>
  <si>
    <t>CELKOVÉ ZADLUŽENÍ K PROVOZNÍM PŘÍJMŮM 
(&lt; 50%)</t>
  </si>
  <si>
    <t>výdaje na dluhovou službu k provozním příjmům 
(&lt; 15% )</t>
  </si>
  <si>
    <t>hrubý provozní přebytek ke splátkám úroků 
( &gt; 150% )</t>
  </si>
  <si>
    <t>CELKOVÉ PŘÍJMY k 31.12.</t>
  </si>
  <si>
    <t>Průměr příjmů za poslední 4 roky</t>
  </si>
  <si>
    <t>DLUH k 31.12.</t>
  </si>
  <si>
    <t>PODÍL DLUHU K PRŮMĚRU PŘÍJMŮ</t>
  </si>
  <si>
    <t>Obsah:</t>
  </si>
  <si>
    <t>str.</t>
  </si>
  <si>
    <t>v mil. Kč</t>
  </si>
  <si>
    <t>Bankovní poplatky za vedení účtů a provedené bankovní operace u peněžních ústavů, které plynou z uzavřených smluv na dobu neurčitou a všeobecných platebních podmínek.</t>
  </si>
  <si>
    <t>RUČITELSKÉ ZÁVAZKY CELKEM</t>
  </si>
  <si>
    <t>Výstavba výjezdového stanoviště v Novém Jičíně</t>
  </si>
  <si>
    <t xml:space="preserve">Přehled závazků kraje u akcí reprodukce majetku kraje </t>
  </si>
  <si>
    <t>Přehled ostatních dlouhodobých závazků kraje</t>
  </si>
  <si>
    <t xml:space="preserve">PŘEHLED ZÁVAZKŮ KRAJE U AKCÍ SPOLUFINANCOVANÝCH Z EVROPSKÝCH FINANČNÍCH ZDROJŮ </t>
  </si>
  <si>
    <t>Přístavba Domu umění - Galerie 21. století (Galerie výtvarného umění v Ostravě, příspěvková organizace)</t>
  </si>
  <si>
    <t>Přehled výdajů na zajištění udržitelnosti akcí spolufinancovaných z evropských finančních zdrojů</t>
  </si>
  <si>
    <t xml:space="preserve">Ukazatele zadluženosti </t>
  </si>
  <si>
    <t xml:space="preserve">PŘEHLED ZÁVAZKŮ KRAJE U AKCÍ REPRODUKCE MAJETKU KRAJE </t>
  </si>
  <si>
    <t xml:space="preserve">Přehled závazků kraje u akcí spolufinancovaných z evropských finančních zdrojů </t>
  </si>
  <si>
    <t>Výhled 2022</t>
  </si>
  <si>
    <t xml:space="preserve"> - dotace ze státního rozpočtu</t>
  </si>
  <si>
    <t xml:space="preserve"> - dotace od obcí a krajů</t>
  </si>
  <si>
    <t>STÁTNÍ ROZPOČET</t>
  </si>
  <si>
    <t xml:space="preserve">Ministerstvo financí - příspěvek na výkon státní správy </t>
  </si>
  <si>
    <t>Ministerstvo dopravy - příspěvek na ztrátu dopravce z provozu veřejné osobní drážní dopravy</t>
  </si>
  <si>
    <t>Olomoucký a Zlínský kraj - příspěvek na dopravní obslužnost linkovou</t>
  </si>
  <si>
    <t xml:space="preserve">DOTACE NA AKCE SPOLUFINANCOVANÉ Z EVROPSKÝCH FINANČNÍCH ZDROJŮ  </t>
  </si>
  <si>
    <t xml:space="preserve">ISO D Preventivní ochrana před vlivy prostředí </t>
  </si>
  <si>
    <t xml:space="preserve">Záchrana architektonického dědictví - neinvestice </t>
  </si>
  <si>
    <t>Zálohové platby u projektů spolufinancovaných zálohově
z evropských finančních zdrojů celkem</t>
  </si>
  <si>
    <t>2022</t>
  </si>
  <si>
    <t>Rekonstrukce silnice II/462 Jelenice – Lesní Albrechtice</t>
  </si>
  <si>
    <t>Zvýšení přístupnosti a bezpečnosti ke kulturním památkám v česko-slovenském pohraničí</t>
  </si>
  <si>
    <t xml:space="preserve">Památník J. A. Komenského ve Fulneku - živé muzeum </t>
  </si>
  <si>
    <t>Rekonstrukce a výstavba Domova Březiny</t>
  </si>
  <si>
    <t>Naplňování protidrogové politiky Moravskoslezského kraje</t>
  </si>
  <si>
    <t>Podpora duše II</t>
  </si>
  <si>
    <t>Podpora komunitní práce v MSK II</t>
  </si>
  <si>
    <t>Podpora služeb sociální prevence 3</t>
  </si>
  <si>
    <t>Podpora zadavatelů a poskytovatelů sociálních služeb při procesu střednědobého plánování sociálních služeb v MSK</t>
  </si>
  <si>
    <t>Moderní metody pěstování rostlin</t>
  </si>
  <si>
    <t>Podpora technických a řemeslných oborů v MSK</t>
  </si>
  <si>
    <t>Přírodní vědy v technických oborech</t>
  </si>
  <si>
    <t>Eliminace nadměrného šíření jmelí bílého na vybraných úsecích v Moravskoslezském kraji</t>
  </si>
  <si>
    <t>Revitalizace EVL Děhylovský potok - Štěpán</t>
  </si>
  <si>
    <t>Revitalizace přírodní památky Stará řeka</t>
  </si>
  <si>
    <t>Novostavba objektu depozitáře (Muzeum v Bruntále, příspěvková organizace)</t>
  </si>
  <si>
    <t>Rekonstrukce budovy na ulici Praskova čp. 411 v Opavě (Základní škola, Opava, Havlíčkova 1, příspěvková organizace)</t>
  </si>
  <si>
    <t>Rekonstrukce objektů Polského gymnázia (Polské gymnázium - Polskie Gimnazjum im. Juliusza Słowackiego, Český Těšín, příspěvková organizace)</t>
  </si>
  <si>
    <t>Rekonstrukce objektu SŠ a domova mládeže (Střední škola společného stravování, Ostrava-Hrabůvka, příspěvková organizace)</t>
  </si>
  <si>
    <t>Rekonstrukce elektroinstalace Orlová (Nemocnice s poliklinikou Karviná-Ráj, příspěvková organizace)</t>
  </si>
  <si>
    <t>Členský příspěvek Asociaci krajů České republiky</t>
  </si>
  <si>
    <t xml:space="preserve">Operativní leasing automobilů Moravskoslezského kraje </t>
  </si>
  <si>
    <t>Zajištění služeb souvisejících s provozem a činností KÚ</t>
  </si>
  <si>
    <t>Závazek kraje vyplývající z dodavatelských smluv uzavřených krajem na dobu neurčitou. Jedná se o smlouvy na zajištění dodávek tepla, TUV, vodné a stočné, telekomunikační služby, odvoz odpadu, úklid a ostraha budov, revize výtahů, EZS, EPS, apod. v rámci činnosti krajského úřadu.</t>
  </si>
  <si>
    <t>Závazek kraje vyplývající z dodavatelských smluv uzavřených krajem na dobu neurčitou. Jedná se o smlouvy na technickou a zákaznickou podporu (maintenance), na aktualizace a obnovu dat, služby k IT systémům a softwarové zpracování výstupů IT, apod. v rámci činnosti krajského úřadu.</t>
  </si>
  <si>
    <t>Pronájem pozemků</t>
  </si>
  <si>
    <t xml:space="preserve">Vypořádání zůstatkové hodnoty technického zhodnocení majetku provedené na vlastní náklady Letiště Ostrava, a. s. </t>
  </si>
  <si>
    <t>Smlouva o poskytnutí finančního příspěvku na zajištění dopravní obslužnosti území Moravskoslezského kraje městskou hromadnou dopravou - Obec Horní Bludovice</t>
  </si>
  <si>
    <t>Smlouva o poskytnutí finančního příspěvku na zajištění dopravní obslužnosti území Moravskoslezského kraje městskou hromadnou dopravou - Město Šenov</t>
  </si>
  <si>
    <t>Smlouva o poskytnutí finančního příspěvku na zajištění dopravní obslužnosti území Moravskoslezského kraje městskou hromadnou dopravou - Statutární město Frýdek-Místek</t>
  </si>
  <si>
    <t>Smlouva o poskytnutí finančního příspěvku na zajištění dopravní obslužnosti území Moravskoslezského kraje městskou hromadnou dopravou - Statutární město Opava</t>
  </si>
  <si>
    <t>Smlouva o poskytnutí finančního příspěvku na zajištění dopravní obslužnosti území Moravskoslezského kraje městskou hromadnou dopravou - Statutární město Ostrava</t>
  </si>
  <si>
    <t>Smlouva o finanční spolupráci ve veřejné linkové dopravě mezi Moravskoslezským krajem a Zlínským krajem</t>
  </si>
  <si>
    <t>Zajištění dopravní obslužnosti linkovou dopravou - oblast Frýdecko-Místecko</t>
  </si>
  <si>
    <t xml:space="preserve">Zajištění činnosti krizového štábu </t>
  </si>
  <si>
    <t>Závazek vyplývající ze smlouvy č. 02380/2011/KH uzavřené s dodavatelem na poskytování servisní a uživatelské podpory aplikace ECC.</t>
  </si>
  <si>
    <t>Členství Moravskoslezského kraje v zájmovém sdružení právnických osob Evropská kulturní stezka sv. Cyrila a Metoděje na dobu neurčitou schválilo zastupitelstvo kraje usnesením č. 12/1085 ze dne 11.12.2014. Závazek Moravskoslezského kraje byl schválen usnesením zastupitelstva kraje č. 6/520 ze dne 14.12.2017.</t>
  </si>
  <si>
    <t>Závazek Moravskoslezského kraje byl schválen usnesením zastupitelstva kraje č. 4/245 ze dne 15. 6. 2017, realizuje statutární město Ostrava, předpokládané náklady 1.450 mil. Kč.</t>
  </si>
  <si>
    <t xml:space="preserve">Technická údržba, podpora a služby k software v odvětví školství </t>
  </si>
  <si>
    <t>Technická údržba, podpora a služby k software v odvětví zdravotnictví</t>
  </si>
  <si>
    <t>Moravskoslezský kraj zajišťuje údržbu chráněných části přírody na území kraje vyplývající z obecně právních předpisů. V návaznosti na to jsou uzavřené dlouhodobé smlouvy nebo smlouvy na dobu neurčitou s jednotlivými subjekty na tyto činnosti. Závazek Moravskoslezského kraje byl schválen usnesením zasedání zastupitelstva kraje č. 6/520 dne 14.12.2017.</t>
  </si>
  <si>
    <r>
      <t>Členství Moravskoslezského kraje v zájmovém sdružení  je</t>
    </r>
    <r>
      <rPr>
        <b/>
        <sz val="8"/>
        <rFont val="Tahoma"/>
        <family val="2"/>
        <charset val="238"/>
      </rPr>
      <t xml:space="preserve"> </t>
    </r>
    <r>
      <rPr>
        <sz val="8"/>
        <rFont val="Tahoma"/>
        <family val="2"/>
        <charset val="238"/>
      </rPr>
      <t>na dobu neurčitou schválilo zastupitelstvo kraje usnesením č. 3/259 ze dne 21.3.2013. Závazek Moravskoslezského kraje byl schválen usnesením zastupitelstva kraje č. 6/520 ze dne 14.12.2017.</t>
    </r>
  </si>
  <si>
    <r>
      <t>2022</t>
    </r>
    <r>
      <rPr>
        <b/>
        <vertAlign val="superscript"/>
        <sz val="10"/>
        <rFont val="Tahoma"/>
        <family val="2"/>
        <charset val="238"/>
      </rPr>
      <t xml:space="preserve"> 1)</t>
    </r>
  </si>
  <si>
    <t xml:space="preserve"> v mil. Kč</t>
  </si>
  <si>
    <t>Obce MSK - příspěvek na dopravní obslužnost linkovou</t>
  </si>
  <si>
    <t>Zateplení a stavební úpravy správní budovy, pavilonu E a F Domova Březiny</t>
  </si>
  <si>
    <t>Výhled 2023</t>
  </si>
  <si>
    <t xml:space="preserve"> - splátky jistin půjčených prostředků od obcí v rámci Jessica II</t>
  </si>
  <si>
    <t>OP VVV – PO3 neinvestice - individuální projekty škol</t>
  </si>
  <si>
    <t>MINISTERSTVO PRO MÍSTNÍ ROZVOJ</t>
  </si>
  <si>
    <t>IROP – Integrovaný regionální OP – program č. 117030 - individuální projekty nemocnic</t>
  </si>
  <si>
    <t>IROP – Integrovaný regionální OP – program č. 117030 - individuální projekty škol</t>
  </si>
  <si>
    <t>Zlínský kraj - příspěvek na dopravní obslužnost drážní</t>
  </si>
  <si>
    <t>2023</t>
  </si>
  <si>
    <t>Vybudování dílen pro praktické vyučování (Střední odborná škola, Frýdek-Místek, příspěvková organizace)</t>
  </si>
  <si>
    <t>Vstřícný a kompetentní KÚ MSK</t>
  </si>
  <si>
    <t>Zastupitelstvo kraje rozhodlo o profinancování a kofinancování projektu usnesením č. 12/1433 ze dne 13.6.2019. Projekt je financován formou záloh.</t>
  </si>
  <si>
    <t>Zastupitelstvo kraje rozhodlo o profinancování a kofinancování projektu usnesením č. 12/1450 ze dne 13.6.2019.</t>
  </si>
  <si>
    <t>Zastupitelstvo kraje rozhodlo o profinancování a kofinancování projektu usnesením č. 7/710 ze dne 14.3.2018.</t>
  </si>
  <si>
    <t>Silnice II/445 hranice Olomouckého kraje - Stránské</t>
  </si>
  <si>
    <t>Zastupitelstvo kraje rozhodlo o profinancování a kofinancování projektu usnesením č. 12/1422 ze dne 13.6.2019.</t>
  </si>
  <si>
    <t>Zámek Nová Horka - Muzeum pro veřejnost II.</t>
  </si>
  <si>
    <t>Zastupitelstvo kraje rozhodlo o profinancování a kofinancování projektu usnesením č. 6/567 ze dne 14.12.2017.</t>
  </si>
  <si>
    <t>Multidisciplinární spolupráce v Moravskoslezském kraji</t>
  </si>
  <si>
    <t>Zastupitelstvo kraje rozhodlo o profinancování a kofinancování projektu usnesením č. 12/1434 ze dne 13.6.2019. Projekt je financován formou záloh.</t>
  </si>
  <si>
    <t>Zastupitelstvo kraje rozhodlo o profinancování a kofinancování projektu usnesením č. 13/1596 ze dne 12.9.2019. Projekt je financován formou záloh.</t>
  </si>
  <si>
    <t>Zastupitelstvo kraje rozhodlo o profinancování a kofinancování projektu usnesením č. 8/865 ze dne 14.6.2018. Projekt je financován formou záloh.</t>
  </si>
  <si>
    <t>Podporujeme hrdinství, které není vidět III</t>
  </si>
  <si>
    <t>Podpora transformace zařízení pro děti do tří let v Moravskoslezském kraji</t>
  </si>
  <si>
    <t>Zastupitelstvo kraje rozhodlo o profinancování a kofinancování projektu usnesením č. 11/1337 ze dne 13.3.2019. Projekt je financován formou záloh.</t>
  </si>
  <si>
    <t>Zastupitelstvo kraje rozhodlo o profinancování a kofinancování projektu usnesením č. 9/989 ze dne 13.9.2018. Projekt je financován formou záloh.</t>
  </si>
  <si>
    <t>Energetické úspory ve SŠ služeb a podnikání Ostrava-Poruba (tělocvična)</t>
  </si>
  <si>
    <t>Energetické úspory v MSŠZe a VOŠ Opava - tělocvična</t>
  </si>
  <si>
    <t>Energetické úspory v SOŠ dopravy a cestovního ruchu Krnov</t>
  </si>
  <si>
    <t>Energetické úspory v ZŠ speciální Slezská Ostrava</t>
  </si>
  <si>
    <t>Energetické úspory v ZŠ Čkalovova</t>
  </si>
  <si>
    <t>Energetické úspory v Dětském domově Úsměv</t>
  </si>
  <si>
    <t>Energetické úspory v ZUŠ L. Janáčka Havířov</t>
  </si>
  <si>
    <t>Energetické úspory v ZUŠ Klimkovice</t>
  </si>
  <si>
    <t>Energeticky úsporná opatření - Mendelova SŠ</t>
  </si>
  <si>
    <t>Modernizace a rekonstrukce pavilonu (oddělení) psychiatrie Nemocnice s poliklinikou Havířov, p.o.</t>
  </si>
  <si>
    <t>Zastupitelstvo kraje rozhodlo o profinancování a kofinancování projektu usnesením č. 12/1435 ze dne 13.6.2019. Projekt je financován formou záloh.</t>
  </si>
  <si>
    <t>Zastupitelstvo kraje rozhodlo o profinancování a kofinancování projektu usnesením č. 10/1115 ze dne 13.12.2018.</t>
  </si>
  <si>
    <t>Zastupitelstvo kraje rozhodlo o profinancování a kofinancování projektu usnesením č. 13/1594 ze dne 12.9.2019.</t>
  </si>
  <si>
    <t>Kotlíkové dotace v Moravskoslezském kraji - 3. grantové schéma</t>
  </si>
  <si>
    <t/>
  </si>
  <si>
    <t>2017 - 2022</t>
  </si>
  <si>
    <t>2015 - 2020</t>
  </si>
  <si>
    <t>Zlepšenie dostupnosti ku kultúrnym pamiatkam na slovenskej a českej strane</t>
  </si>
  <si>
    <t>Modernizace škol a školských poradenských zařízení v rámci výzvy č. 86</t>
  </si>
  <si>
    <t>2019 - 2021</t>
  </si>
  <si>
    <t>2018 - 2023</t>
  </si>
  <si>
    <t>2017 - 2023</t>
  </si>
  <si>
    <t>Subjekt (IČO)</t>
  </si>
  <si>
    <t>Číslo smlouvy</t>
  </si>
  <si>
    <t>0005</t>
  </si>
  <si>
    <t>0004, 0005</t>
  </si>
  <si>
    <t>Moody's Investors Service EMEA Limited (03093859)</t>
  </si>
  <si>
    <t>01547/2006/KŘ</t>
  </si>
  <si>
    <t>ČNB, Česká spořitelna, J &amp; T Banka, Komerční banka, Oberbank AG, Raiffeisenbank, Sberbank CZ, UniCredit Bank</t>
  </si>
  <si>
    <t>Evropská investiční banka</t>
  </si>
  <si>
    <t>02432/2010/FIN</t>
  </si>
  <si>
    <t>O uzavření smlouvy o financování projektu "Moravia-Silesia Regional Infra II (CZ)" ve výši 2.000 mil. Kč,  rozhodlo zastupitelstvo kraje svým usnesením č. 15/1270 ze dne 10.11.2010. Novou smlouvou o úvěru s UniCredit Bank Czech Republic and Slovakia, a. s. došlo ke splacení podstatné části jistiny úvěru od EIB (předčasné splacení 2., 3. a 4. tranše) ve výši 1.178 mil. Kč a rozpočet kraje dále počítá s pravidelnou splátkou zbývajících 2 tranší (1. a 5. tranše) ve výši 76,7 mil. Kč. Závazek trvá do roku 2025.</t>
  </si>
  <si>
    <t>UniCredit Bank Czech Republic and Slovakia, a.s. (64948242)</t>
  </si>
  <si>
    <t>08462/2018/FIN</t>
  </si>
  <si>
    <t>02137/2019/FIN</t>
  </si>
  <si>
    <t>O uzavření smlouvy o úvěru s UniCredit Bank Czech Republic and Slovakia, a.s. ve výši 1.009.700 tis. Kč rozhodlo zastupitelstvo kraje svým usnesením č. 12/1411 ze dne 13.6.2019. Předmětem úvěrové smlouvy je refinancování vybraných tranší (2., 3. a 4. tranše) úvěrového rámce od EIB, kdy cílem předčasného splacení je snížení úrokových nákladů placených krajem. Nový úvěr od UniCredit Bank bude splácen v letech 2020 – 2025.</t>
  </si>
  <si>
    <t>Zajištění dopravní obslužnosti v Moravskoslezském kraji veřejnou drážní osobní dopravou na vybraných traťových linkách a úsecích v Moravskoslezském kraji, od prosince 2019 do prosince 2025 - 2. Provozní soubor</t>
  </si>
  <si>
    <t>00607/2019/DSH</t>
  </si>
  <si>
    <t>Zajištění dopravní obslužnosti v Moravskoslezském kraji veřejnou drážní osobní dopravou vybraných vlaků na lince S6 Ostrava hl. n. – Frýdek-Místek – Frenštát pod Radhoštěm město na trati 323 Ostrava – Valašské Meziříčí od prosince roku 2019 do prosince roku 2023 - 1. Provozní soubor</t>
  </si>
  <si>
    <t>07698/2018/DSH</t>
  </si>
  <si>
    <t>02118/2006/DSH</t>
  </si>
  <si>
    <t>Zajištění dopravní obslužnosti v Moravskoslezském kraji veřejnou drážní osobní dopravou na části tratě 270 a části tratě 320 bez provozu vozidel z ROP v Moravskoslezském kraji, od prosince 2019 do prosince 2025 - 3. Provozní soubor</t>
  </si>
  <si>
    <t>02372/2019/DSH</t>
  </si>
  <si>
    <t>02128/2019/DSH</t>
  </si>
  <si>
    <t>MBM rail s.r.o., Jaroměř (25277171)</t>
  </si>
  <si>
    <t>02435/2019/DSH</t>
  </si>
  <si>
    <t xml:space="preserve">Provozování železniční dráhy </t>
  </si>
  <si>
    <t>Správa železniční dopravní cesty, státní organizace (70994234)</t>
  </si>
  <si>
    <t>00530/2014/KŘ</t>
  </si>
  <si>
    <t xml:space="preserve">Závazek Moravskoslezského kraje byl schválen usnesením zastupitelstva kraje č. 8/684 ze dne 27.2.2014. Jedná se o smlouvu na dobu neurčitou. </t>
  </si>
  <si>
    <t>Letiště Ostrava, a.s. (26827719)</t>
  </si>
  <si>
    <t>0671/2004/POR</t>
  </si>
  <si>
    <t xml:space="preserve">Vypořádání zůstatkové hodnoty technického zhodnocení majetku realizovaného Letištěm Ostrava, a.s.,  z vlastních zdrojů se souhlasem Moravskoslezského kraje v případě realizace majetku. Vyčíslený závazek bude každoročně ponížen o hodnotu odpisů. </t>
  </si>
  <si>
    <t xml:space="preserve">Zajištění provozu leteckého spojení Ostrava – Varšava </t>
  </si>
  <si>
    <t>ČSAD Vsetín, a.s. (45192120)</t>
  </si>
  <si>
    <t>02071/2015/DSH</t>
  </si>
  <si>
    <t>ČSAD Havířov, a.s. (45192081)</t>
  </si>
  <si>
    <t>00865/2016/DSH</t>
  </si>
  <si>
    <t>03415/2017/DSH</t>
  </si>
  <si>
    <t>03411/2017/DSH</t>
  </si>
  <si>
    <t>ČSAD Frýdek-Místek, a.s. (45192073)</t>
  </si>
  <si>
    <t>06336/2018/DSH</t>
  </si>
  <si>
    <t>06337/2018/DSH</t>
  </si>
  <si>
    <t>Transdev Morava s.r.o., (06738346)</t>
  </si>
  <si>
    <t>06335/2018/DSH</t>
  </si>
  <si>
    <t>Transdev Morava s.r.o. (06738346)</t>
  </si>
  <si>
    <t>07928/2018/DSH</t>
  </si>
  <si>
    <t>07173/2018/DSH</t>
  </si>
  <si>
    <t>07174/2018/DSH</t>
  </si>
  <si>
    <t>06626/2018/DSH</t>
  </si>
  <si>
    <t>06334/2018/DSH</t>
  </si>
  <si>
    <t>06279/2018/DSH</t>
  </si>
  <si>
    <t>07172/2018/DSH</t>
  </si>
  <si>
    <t>06227/2019/DSH</t>
  </si>
  <si>
    <t>Obec Horní Bludovice (00296686)</t>
  </si>
  <si>
    <t>07600/2018/DSH</t>
  </si>
  <si>
    <t>07603/2018/DSH</t>
  </si>
  <si>
    <t>Statutární město Frýdek-Místek (00296643)</t>
  </si>
  <si>
    <t>08209/2018/DSH</t>
  </si>
  <si>
    <t>Statutární město Opava (00300535)</t>
  </si>
  <si>
    <t>07602/2018/DSH</t>
  </si>
  <si>
    <t>Statutární město Ostrava (00845451)</t>
  </si>
  <si>
    <t>07604/2018/DSH</t>
  </si>
  <si>
    <t>00698/2017/DSH</t>
  </si>
  <si>
    <t>Zlínský kraj                          (70891320)</t>
  </si>
  <si>
    <t>05491/2016/DSH</t>
  </si>
  <si>
    <t>Komplexní zajištění služby inteligentního parkovacího systému v okolí KÚ</t>
  </si>
  <si>
    <t>02108/2019/KŘ</t>
  </si>
  <si>
    <t>0122</t>
  </si>
  <si>
    <t>02380/2011/KH</t>
  </si>
  <si>
    <t>Příspěvek na zabezpečení úkolů jednotek požární ochrany v rámci veřejné služby</t>
  </si>
  <si>
    <t xml:space="preserve">Závazek vyplývající ze Smlouvy o závazku veřejné služby a vyrovnávací platbě za jeho výkon uzavřené s Letištěm Ostrava, a.s. Závazek Moravskoslezského kraje byl schválen usnesením zastupitelstva kraje č. 11/1201 ze dne 13. 3. 2019. </t>
  </si>
  <si>
    <t>Trojhalí Karolina            (72089237)</t>
  </si>
  <si>
    <t>Členství Moravskoslezského kraje v zájmovém sdružení na dobu neurčitou schválilo zastupitelstvo kraje usnesením č. 18/1535 ze dne 23.3.2011. Závazek Moravskoslezského kraje byl schválen usnesením zastupitelstva kraje č. 6/520 ze dne 14.12.2017.</t>
  </si>
  <si>
    <t xml:space="preserve">Členský příspěvek v zájmové sdružení Národní síť zdravých měst České republiky </t>
  </si>
  <si>
    <t>Národní síť zdravých měst České republiky                (61385247)</t>
  </si>
  <si>
    <t>Evropské seskupení pro územní spolupráci TRITIA</t>
  </si>
  <si>
    <t>Členství na dobu neurčitou schválilo zastupitelstvo kraje usnesením č. 11/946 ze dne 21.4.2010. Nové stanovy a zmocnění hejtmana kraje jako člena valné hromady k hlasování pro navýšení členského příspěvku na 32 tis. EUR včetně závazku byly schváleny usnesením zastupitelstva kraje č. 6/520 ze dne 14.12.2017.</t>
  </si>
  <si>
    <t>Služby Moravskoslezského paktu zaměstnanosti, z.s.</t>
  </si>
  <si>
    <t>Členství Moravskoslezského kraje v zájmovém sdružení na dobu neurčitou schválilo zastupitelstvo kraje usnesením č. 10/1116 ze dne 13.12.2018.</t>
  </si>
  <si>
    <t>Program na podporu přípravy projektové dokumentace 2016</t>
  </si>
  <si>
    <t xml:space="preserve">obce  </t>
  </si>
  <si>
    <t>více smluv</t>
  </si>
  <si>
    <t>Usnesení zastupitelstva kraje č.  20/2098 ze dne 23.6.2016. Jedná se o výplatu druhých splátek dotací na základě uzavřených dodatků ke smlouvám v návaznosti na prodloužení termínů realizace projektů.</t>
  </si>
  <si>
    <t>Program na podporu přípravy projektové dokumentace 2019</t>
  </si>
  <si>
    <t>Dotační program Podpora vědy a výzkumu v Moravskoslezském kraji 2019</t>
  </si>
  <si>
    <t>07359/2019/RRC, 06732/2019/RRC, 07685/2019/RRC</t>
  </si>
  <si>
    <t>Usnesení zastupitelstva kraje č. 13/1587 ze dne 12.9.2019.</t>
  </si>
  <si>
    <t>Závazek byl schválen usnesením zastupitelstva kraje č. 16/1673 ze dne 25.9.2015 v celkové výši 5.645 tis. Kč. Tento závazek byl upraven usnesením zastupitelstva kraje č. 6/520 ze dne 14.12.2017. Dále zastupitelstvo kraje schválilo závazek dofinancovat náklady spojené s provozem restaurátorské dílny VŠB-TU Ostrava, usnesení č. 9/996 ze dne 13.9.2018.</t>
  </si>
  <si>
    <t>Dotační program – Úprava lyžařských běžeckých tras v Moravskoslezském kraji</t>
  </si>
  <si>
    <t>upravovatelé LBT</t>
  </si>
  <si>
    <t>spolky, obecně prospěšné společnosti a obchodní společnost</t>
  </si>
  <si>
    <t>Podpora aktivit k rozvoji vzdělanosti</t>
  </si>
  <si>
    <t>Leemon Concept, s.r.o. (27850463)</t>
  </si>
  <si>
    <t>03751/2019/KŘ</t>
  </si>
  <si>
    <t xml:space="preserve">Usnesením rady kraje č. 67/6030 ze dne 30. 7. 2019 bylo rozhodnuto o uzavření Smlouvy o dílo na strategické vedení propagační kampaně s názvem "Řemeslo má respekt. </t>
  </si>
  <si>
    <t>0514</t>
  </si>
  <si>
    <t>Nemocnice Nový Jičín a.s. (25886207)</t>
  </si>
  <si>
    <t>02262/2011/ZDR</t>
  </si>
  <si>
    <t>Závazek Moravskoslezského kraje byl schválen usnesením zastupitelstva kraje č. 16/1584 ze dne 25.9.2015. K datu řádného ukončení smlouvy o nájmu podniku k 31.12.2031 bude závazek ve výši 9,8 mil. Kč</t>
  </si>
  <si>
    <t>Smlouva o zajištění činnosti nezávislých odborných komisí a o úhradě nákladů spojených s jejich činností</t>
  </si>
  <si>
    <t>Fakultní nemocnice Ostrava            (00843989)</t>
  </si>
  <si>
    <t>02135/2013/ZDR</t>
  </si>
  <si>
    <t>Smlouva na dobu neurčitou.</t>
  </si>
  <si>
    <t>Závazek Moravskoslezského kraje byl schválen usnesením zastupitelstva kraje č. 12/1429 ze dne 13.6.2019.</t>
  </si>
  <si>
    <t>0516</t>
  </si>
  <si>
    <t>03554/2018/ZDR</t>
  </si>
  <si>
    <t xml:space="preserve">Fyzické osoby, právnické osoby, obce </t>
  </si>
  <si>
    <t>ODVĚTVÍ ÚZEMNÍHO PLÁNOVÁNÍ A STAVEBNÍHO ŘÁDU:</t>
  </si>
  <si>
    <t>2024</t>
  </si>
  <si>
    <t>VaK Bruntál, a.s.                                       (47675861)</t>
  </si>
  <si>
    <t xml:space="preserve">V souvislosti s žádostí společnosti VaK Bruntál, a. s. a na základě usnesením č. 5/277 ze dne 17.6.2009 rozhodlo zastupitelstvo kraje o převzetí ručitelského závazku za všechny dluhy obchodní společnosti VaK Bruntál a. s., a vydání prohlášení ručitele ve smyslu § 546 zákona č. 40/1964 Sb., občanský zákoník, ve znění pozdějších předpisů. Moravskoslezský kraj převzal ručení s ohledem na ust. § 143 odst. 4 insolvenčního zákona, když takový krok vyššího územního samosprávného celku je zákonným důvodem pro zamítnutí insolvenčního návrhu podaného věřitelem. Ve věci zajištění ručitelského závazku Moravskoslezského kraje je uzavřena smlouva o budoucí smlouvě zástavní se společností VaK Bruntál, a. s. Zachování majetkové účasti Moravskoslezského kraje ve společnosti VaK Bruntál, a. s., a ručitelského závazku je účelné až do doby dořešení sporů týkajících se údajných pohledávek společnosti FOCUS METAL, s.r.o., ke kterému probíhá soudní řízení. Ručitelský závazek je aktualizován pololetně podle údajů z účetnictví společnosti VaK Bruntál, a. s. </t>
  </si>
  <si>
    <r>
      <t xml:space="preserve">UCB
</t>
    </r>
    <r>
      <rPr>
        <sz val="10"/>
        <rFont val="Tahoma"/>
        <family val="2"/>
        <charset val="238"/>
      </rPr>
      <t xml:space="preserve">(smlouva o úvěru 
</t>
    </r>
    <r>
      <rPr>
        <b/>
        <sz val="10"/>
        <rFont val="Tahoma"/>
        <family val="2"/>
        <charset val="238"/>
      </rPr>
      <t>ve výši 1,0 mld. Kč</t>
    </r>
    <r>
      <rPr>
        <sz val="10"/>
        <rFont val="Tahoma"/>
        <family val="2"/>
        <charset val="238"/>
      </rPr>
      <t>)</t>
    </r>
  </si>
  <si>
    <r>
      <t>2023</t>
    </r>
    <r>
      <rPr>
        <b/>
        <vertAlign val="superscript"/>
        <sz val="10"/>
        <rFont val="Tahoma"/>
        <family val="2"/>
        <charset val="238"/>
      </rPr>
      <t xml:space="preserve"> 1)</t>
    </r>
  </si>
  <si>
    <t>Ukazatel zadluženosti dle EIB</t>
  </si>
  <si>
    <t>Období realizace
v letech</t>
  </si>
  <si>
    <t>Podíl MSK  (pouze způsobilé výdaje)</t>
  </si>
  <si>
    <t>Zajištění poskytování lékařské pohotovostní služby</t>
  </si>
  <si>
    <r>
      <t xml:space="preserve">EIB
</t>
    </r>
    <r>
      <rPr>
        <sz val="10"/>
        <rFont val="Tahoma"/>
        <family val="2"/>
        <charset val="238"/>
      </rPr>
      <t xml:space="preserve">(smlouva z r. 2010 na poskytnutí úvěrového rámce </t>
    </r>
    <r>
      <rPr>
        <b/>
        <sz val="10"/>
        <rFont val="Tahoma"/>
        <family val="2"/>
        <charset val="238"/>
      </rPr>
      <t xml:space="preserve">
ve výši 2 mld. Kč</t>
    </r>
    <r>
      <rPr>
        <sz val="10"/>
        <rFont val="Tahoma"/>
        <family val="2"/>
        <charset val="238"/>
      </rPr>
      <t>)</t>
    </r>
  </si>
  <si>
    <r>
      <t xml:space="preserve">UCB II
</t>
    </r>
    <r>
      <rPr>
        <sz val="10"/>
        <rFont val="Tahoma"/>
        <family val="2"/>
        <charset val="238"/>
      </rPr>
      <t xml:space="preserve">(smlouva o úvěru 
</t>
    </r>
    <r>
      <rPr>
        <b/>
        <sz val="10"/>
        <rFont val="Tahoma"/>
        <family val="2"/>
        <charset val="238"/>
      </rPr>
      <t>ve výši 1,0097 mld. Kč</t>
    </r>
    <r>
      <rPr>
        <sz val="10"/>
        <rFont val="Tahoma"/>
        <family val="2"/>
        <charset val="238"/>
      </rPr>
      <t>) - Úvěr na refinancovaní 3 vybraných úvěrových tranší načerpaných od EIB</t>
    </r>
  </si>
  <si>
    <t>2018</t>
  </si>
  <si>
    <t>2025</t>
  </si>
  <si>
    <t>Geoportál MSK - část dopravní infrastruktura</t>
  </si>
  <si>
    <t>RESOLVE – Sustainable mobility and the transition to a low-carbon retailing economy – RESOLVE - Udržitelná mobilita a přechod k nízkouhlíkové ekonomice služeb (obchodu)</t>
  </si>
  <si>
    <t xml:space="preserve">Nové vedení trasy silnice III/4848, ul. Palkovická, Frýdek - Místek </t>
  </si>
  <si>
    <t xml:space="preserve">Rekonstrukce a modernizace silnice II/478 Klimkovice – Polanka nad Odrou – Stará Bělá </t>
  </si>
  <si>
    <t>Modernizace silnice II/477, II/647 Ostrava, ul. Bohumínská - III. Etapa</t>
  </si>
  <si>
    <t>Silnice II/479 Ostrava, ulice Opavská, mosty 479-004 přes vodní tok Odra</t>
  </si>
  <si>
    <t>Modernizace silnice II/473 Šenov - Frýdek-Místek</t>
  </si>
  <si>
    <t>Rozvoj architektury ICT Moravskoslezského kraje</t>
  </si>
  <si>
    <t>Realizace bezpečnostních opatření podle zákona o kybernetické bezpečnosti</t>
  </si>
  <si>
    <t>NKP Zámek Bruntál - Revitalizace objektu „saly terreny</t>
  </si>
  <si>
    <t>Revitalizace zámku ve Frýdku včetně obnovy expozice</t>
  </si>
  <si>
    <t>Na bicykli k susedom</t>
  </si>
  <si>
    <t>-</t>
  </si>
  <si>
    <t>Efektivní naplňování střednědobého plánu v podmínkách MSK</t>
  </si>
  <si>
    <t>Chráněné bydlení Sagapo II</t>
  </si>
  <si>
    <t xml:space="preserve">Odborné sociální poradenství ve Frýdku-Místku </t>
  </si>
  <si>
    <t>Nákup bytů pro chráněné bydlení</t>
  </si>
  <si>
    <t>Optimalizace odborného sociálního poradenství a poskytování dluhového poradenství v Moravskoslezském kraji</t>
  </si>
  <si>
    <t>Žít normálně</t>
  </si>
  <si>
    <t>Zateplení budovy Domova Duha v Novém Jičíně</t>
  </si>
  <si>
    <t>Odstranění vlhkosti a zateplení budovy č. p. 151, Domov Odry, příspěvková organizace</t>
  </si>
  <si>
    <t>Energetické úspory DC Čtyřlístek – Havířov</t>
  </si>
  <si>
    <t>Supporting attractivness of health and social care professions in regions</t>
  </si>
  <si>
    <t>Supporting mental health of young people in the era of coronavirus</t>
  </si>
  <si>
    <t>Elektrolaboratoře</t>
  </si>
  <si>
    <t>Krajský akční plán rozvoje vzdělávání Moravskoslezského kraje III</t>
  </si>
  <si>
    <t>Laboratoře technických měření</t>
  </si>
  <si>
    <t>Modernizace výuky informačních technologií II</t>
  </si>
  <si>
    <t>Modernizace výuky přírodovědných předmětů I</t>
  </si>
  <si>
    <t>Modernizace výuky přírodovědných předmětů II (SVL)</t>
  </si>
  <si>
    <t>Modernizace výuky svařování</t>
  </si>
  <si>
    <t>Poskytování bezplatné stravy dětem ohroženým chudobou ve školách z prostředků OP PMP v Moravskoslezském kraji V</t>
  </si>
  <si>
    <t>Odborné, kariérové a polytechnické vzdělávání v MSK II</t>
  </si>
  <si>
    <t>3464</t>
  </si>
  <si>
    <t>Podpora výuky CNC obrábění</t>
  </si>
  <si>
    <t>Specializované laboratoře na SPŠ chemické akad. Heyrovského v Ostravě</t>
  </si>
  <si>
    <t>Výuka pro Průmysl 4.0</t>
  </si>
  <si>
    <t>Výuka pro Průmysl 4.0 II</t>
  </si>
  <si>
    <t xml:space="preserve">Laboratoře virtuální reality </t>
  </si>
  <si>
    <t>Podpora jazykového vzdělávání v SŠ MSK</t>
  </si>
  <si>
    <t>Podpora digitálního vzdělávání v SŠ MSK</t>
  </si>
  <si>
    <t>Budova dílen pro obor Opravář zemědělských strojů ve Střední odborné škole Bruntál</t>
  </si>
  <si>
    <t>Energetické úspory ve VOŠ zdravotnická Ostrava</t>
  </si>
  <si>
    <t>Energetické úspory - Gymnázium Havířov-Podlesí</t>
  </si>
  <si>
    <t>Energetické úspory - Gymnázium Ostrava-Zábřeh (Volgogradská 6a)</t>
  </si>
  <si>
    <t>Energetické úspory - Matiční gymnázium Ostrava</t>
  </si>
  <si>
    <t>Energetické úspory - Sportovní Gymnázium Dany a Emila Zátopkových, Ostrava</t>
  </si>
  <si>
    <t>Systém pomoci na vyžádání</t>
  </si>
  <si>
    <t>Vybavení vzdělávacího střediska Zdravotnické záchranné služby Moravskoslezského kraje, p.o.</t>
  </si>
  <si>
    <t>Elektronizace procesů jako podpora sdílení dat a komunikace ve zdravotnictví a zároveň zvýšení bezpečí a kvality poskytované péče</t>
  </si>
  <si>
    <t>Vozidla a technika proti covidu</t>
  </si>
  <si>
    <t>Vzdělávání a nácvik proti covidu</t>
  </si>
  <si>
    <t>Záchranný komunikační systém</t>
  </si>
  <si>
    <t>Implementace soustavy Natura 2000 v Moravskoslezském kraji, 2. vlna</t>
  </si>
  <si>
    <t>IP LIFE for Coal Mining Landscape Adaptation</t>
  </si>
  <si>
    <t>River Continuum</t>
  </si>
  <si>
    <t>Krajský akční plán pro oblast ochrany ovzduší</t>
  </si>
  <si>
    <t>Jednotný ekonomický informační systém Moravskoslezského kraje</t>
  </si>
  <si>
    <t>Digitální technická mapa Moravskoslezského kraje</t>
  </si>
  <si>
    <t>po r. 2025</t>
  </si>
  <si>
    <t>3392</t>
  </si>
  <si>
    <t>3255</t>
  </si>
  <si>
    <t>3303</t>
  </si>
  <si>
    <t>3399</t>
  </si>
  <si>
    <t>3247</t>
  </si>
  <si>
    <t>3267</t>
  </si>
  <si>
    <t>3304</t>
  </si>
  <si>
    <t>3305</t>
  </si>
  <si>
    <t>3233</t>
  </si>
  <si>
    <t>3236</t>
  </si>
  <si>
    <t>3234</t>
  </si>
  <si>
    <t>3277</t>
  </si>
  <si>
    <t>3415</t>
  </si>
  <si>
    <t>3333</t>
  </si>
  <si>
    <t>3335</t>
  </si>
  <si>
    <t>3371</t>
  </si>
  <si>
    <t>3282</t>
  </si>
  <si>
    <t>3393</t>
  </si>
  <si>
    <t>3372</t>
  </si>
  <si>
    <t>5737</t>
  </si>
  <si>
    <t>3437</t>
  </si>
  <si>
    <t>3316</t>
  </si>
  <si>
    <t>3423</t>
  </si>
  <si>
    <t>3285</t>
  </si>
  <si>
    <t>3413</t>
  </si>
  <si>
    <t>3414</t>
  </si>
  <si>
    <t>3387</t>
  </si>
  <si>
    <t>3287</t>
  </si>
  <si>
    <t>3386</t>
  </si>
  <si>
    <t>3289</t>
  </si>
  <si>
    <t>3391</t>
  </si>
  <si>
    <t>3330</t>
  </si>
  <si>
    <t>3292</t>
  </si>
  <si>
    <t>3293</t>
  </si>
  <si>
    <t>3301</t>
  </si>
  <si>
    <t>3426</t>
  </si>
  <si>
    <t>3334</t>
  </si>
  <si>
    <t>3244</t>
  </si>
  <si>
    <t>3294</t>
  </si>
  <si>
    <t>3377</t>
  </si>
  <si>
    <t>3378</t>
  </si>
  <si>
    <t>3468</t>
  </si>
  <si>
    <t>2016 - 2019</t>
  </si>
  <si>
    <t>2016 - 2021</t>
  </si>
  <si>
    <t>2018 - 2022</t>
  </si>
  <si>
    <t>2016 - 2017</t>
  </si>
  <si>
    <t>2016 - 2018</t>
  </si>
  <si>
    <t>2017 - 2018</t>
  </si>
  <si>
    <t>2021 - 2023</t>
  </si>
  <si>
    <t>2019 - 2022</t>
  </si>
  <si>
    <t>2017 - 2019</t>
  </si>
  <si>
    <t>2017- 2024</t>
  </si>
  <si>
    <t>2021 - 2024</t>
  </si>
  <si>
    <t>2019 - 2023</t>
  </si>
  <si>
    <t>2016 - 2023</t>
  </si>
  <si>
    <t>Asociace krajů ČR
(70933146)</t>
  </si>
  <si>
    <t>Zastupitelstvo kraje usnesením č. 2/128 ze dne 17.12.2020 rozhodlo zařadit finanční prostředky na zajištění financování operativního leasingu do rozpočtu kraje roku 2022, 2023, 2024, 2025.</t>
  </si>
  <si>
    <t>VÍTKOVICE IT SOLUTIONS
 a.s. 
 (28606582)</t>
  </si>
  <si>
    <t>06585/2020/INF</t>
  </si>
  <si>
    <t>Zpracování dat a zajištění služeb souvisejících s inormačními a komunikačními technologiemi</t>
  </si>
  <si>
    <t>07785/2020/IM, 07781/2020/IM, 07782/2020/IM, 07784/2020/IM, 00308/2021/IM</t>
  </si>
  <si>
    <t xml:space="preserve">Závazek Moravskoslezského kraje byl schválen usnesením zastupitelstva kraje č. 16/1926 ze dne 4. 6.2020 ve výši 260 mil. Kč na období od 1.7.2020-30.6.2026. S ohledem na vysoutěženou cenu byl usnesením zastupitelstva č. 17/2063 ze dne 3.9.2020 navýšen na částku 295 mil. Kč. </t>
  </si>
  <si>
    <r>
      <t>Pronájem pozemků vyplývající z uzavřených smluv (01329/2012/IM, 01471/2011/IM, 02465/2013/IM, 03511/2016/IM,</t>
    </r>
    <r>
      <rPr>
        <b/>
        <sz val="8"/>
        <rFont val="Tahoma"/>
        <family val="2"/>
        <charset val="238"/>
      </rPr>
      <t xml:space="preserve"> </t>
    </r>
    <r>
      <rPr>
        <sz val="8"/>
        <rFont val="Tahoma"/>
        <family val="2"/>
        <charset val="238"/>
      </rPr>
      <t xml:space="preserve">08063/2018/IM) a pronájem nebytových prostor pro příspěvkovou organizaci Moravskoslezské energetické centrum dle nájemní smlouvy č. 07969/2020/IM. Jedná se o smlouvy na dobu určitou i neurčitou. </t>
    </r>
  </si>
  <si>
    <t>Ostatní výdaje související s nakládáním s majetkem</t>
  </si>
  <si>
    <t>SATUM CZECH s.r.o. (25373951),
SeePOINT s.r.o. 
(27843122),  
Smart Innovation Center,
 s.r.o.
(65409574)</t>
  </si>
  <si>
    <t>06513/2018/IM,    08116/2019/IM, 07969/2020/IM</t>
  </si>
  <si>
    <t>Moravskoslezský kraj uzavřel smlouvu č. 06513/2018/IM na správa pojistných smluv, odborné poradenství, odborná pomoc při likvidaci pojistných událostí s trváním do 30.6.2023  za odměnu ve výši 12 tis. Kč. Kraj uzavřel smlouvu o výpůjčce č. 08116/2019/IM za účelem umístění archívu, přičemž je povinen hradit služby spojené s výpůjčkou ve výši 8.470 Kč. Služby spojené s pronájmem prostor pro příspěvkovou organizaci Moravskoslezské energetické centrum ve výši 735 tis. Kč.</t>
  </si>
  <si>
    <t>Závazek na zpracování ratingu Moravskoslezského kraje vyplývá z uzavřených smluv s EIB na základě usnesení zastupitelstva č. 5/209 ze dne 23.6.2005 a č. 15/1270 ze dne 10.11.2010. Závazek trvá do roku 2025. O uzavření smlouvy s Moody´s rozhodla rada kraje usnesením č. 80/2952 ze dne 2.8.2006, smlouva sjednána na dobu neurčitou. Ve výhledu je počítáno s navýšením o inflace.</t>
  </si>
  <si>
    <t>Výdaje spojené s projektem Finanční zdraví obcí</t>
  </si>
  <si>
    <t>Slezská univerzita v Opavě
(47813059)</t>
  </si>
  <si>
    <t>00093/2021/FIN</t>
  </si>
  <si>
    <t>V rámci projektu (navazuje na projekt dle smlouvy č. 02027/2017/FIN) "Vytvoření metodiky a nástrojů sledování finančního zdraví obcí" navazujeme na akci, která dále pokračuje jako udržování funkčnosti aplikace. Jde o úplatné poskytování servisních úkonů Slezskou univerzitou v Opavě, které jsou nezbytné pro řádnou funkci webové aplikace. Tato aplikace bude provozována na serveru Slezské univerzity v Opavě, Obchodně podnikatelské fakulty v Karviné, kdy bude zajištěna dostupnost webové aplikace, servisní činnost a její správná funkčnost, včetně každoroční aktualizace dat za všechny municipality Moravskoslezského kraje až do roku 2023.</t>
  </si>
  <si>
    <t xml:space="preserve">O uzavření smlouvy o poskytnutí úvěrového rámce mezi UniCredit Bank Czech Republic and Slovakia, a.s. ve výši 1.000 mil. Kč rozhodlo zastupitelstvo kraje svým usnesením č. 10/1084 ze dne 13.12.2018 </t>
  </si>
  <si>
    <t>UniCredit Bank Czech Republic and Slovakia, a.s.
(64948242)</t>
  </si>
  <si>
    <t>Česká spořitelna, a. s.
(45244782)</t>
  </si>
  <si>
    <t>08357/2020/FIN</t>
  </si>
  <si>
    <t>Zastupitelstvo kraje usnesením č. 2/20 ze dne 17. 12. 2020 rozhodlo o uzavření smlouvy o úvěru s Českou spořitelnou, a.s. ve výši 3 mld. Kč s úrokovou sazbou 6měsíční PRIBOR se zápornou odchylkou. Předmětem úvěrové smlouvy je financování investičních akcí realizovaných krajem a jeho příspěvkovými organizacemi v letech 2021 – 2024. Úvěr bude splácen v letech 2026 - 2035.</t>
  </si>
  <si>
    <t>Servisní podpora aplikačního prostředí modulu Energetického managementu</t>
  </si>
  <si>
    <t>TESCO SW, a.s.                (25892533)</t>
  </si>
  <si>
    <t>00544/2020/KON</t>
  </si>
  <si>
    <t>Servisní podpora aplikačního prostředí modulu Energetického managementu, který je součástí informačního systému FaMa+ O uzavření smlouvy rozhodla rada kraje usnesením č. 81/7263 ze dne 17.2.2020.</t>
  </si>
  <si>
    <t>Realizace komunikační strategie (Česká televize - dokument k architektonicky významným stavbám 2020-2025)</t>
  </si>
  <si>
    <t>0102</t>
  </si>
  <si>
    <t>ČESKÁ TELEVIZE             (00027383)</t>
  </si>
  <si>
    <t>dosud neuzavřena</t>
  </si>
  <si>
    <t>ODVĚTVÍ DOPRAVY:</t>
  </si>
  <si>
    <t>GW TRAIN REGIO, a.s., (28664116)</t>
  </si>
  <si>
    <t>Závazek Moravskoslezského kraje byl schválen usnesením zastupitelstva kraje č. 10/1068 v min. výši 64 mil. Kč ze dne 13.12.2018. Závazek trvá od prosince 2019 do prosince 2025.</t>
  </si>
  <si>
    <t>České dráhy, a.s.
(70994226)</t>
  </si>
  <si>
    <t xml:space="preserve">Závazek Moravskoslezského kraje byl v min. výši 4.400 mil. Kč schválen usnesením zastupitelstva kraje č. 8/834 ze dne 14.6.2018. Závazek trvá od prosince 2019 do prosince 2025 na základě uzavřené Smlouvy o veřejných službách v přepravě cestujících k zajištění dopravní obslužnosti kraje veřejnou drážní osobní dopravou. </t>
  </si>
  <si>
    <t>Příprava veřejné zakázky</t>
  </si>
  <si>
    <t>Závazek Moravskoslezského kraje byl  v min. výši 441.517.328 Kč schválen usnesením zastupitelstva kraje č. 5/423 ze dne 14.9.2017 a usnesením č. 6/552 ze dne 14. 12. 2017 byl tento závazek změněn na min. výši 449.127 mil. Kč. Závazek trvá v období od prosince 2019 do prosince 2023 na základě uzavřené smlouvy.</t>
  </si>
  <si>
    <t>Zajištění dopravní obslužnosti v Moravskoslezském kraji veřejnou drážní osobní dopravou vybraných vlaků na lince S6 Ostrava hl. n. – Frýdek-Místek – Frenštát pod Radhoštěm město na trati 323 Ostrava – Valašské Meziříčí od prosince roku 2023 do prosince roku 2027 - 1. Provozní soubor</t>
  </si>
  <si>
    <t xml:space="preserve">Závazek Moravskoslezského kraje byl schválen usnesením zastupitelstva kraje č. 3/167 ze dne 17. 3. 2021 v max. výši 810 mil. Kč. Závazek bude trvat v období od prosince 2023 do prosince 2027. </t>
  </si>
  <si>
    <t>Závazek Moravskoslezského kraje byl schválen usnesením zastupitelstva kraje č. 12/1022 ze dne 11.12.2014 v min. výši 1.038.008.807 Kč. Závazek trvá od roku 2020 do roku 2025 na základě uzavřené smlouvy.</t>
  </si>
  <si>
    <t xml:space="preserve">Závazek Moravskoslezského kraje byl schválen usnesením zastupitelstva kraje č. 13/1128 ze dne 5.3.2015 v min. výši 224.028.985 Kč. Závazek trvá od roku 2020 do roku 2027 na základě uzavřené smlouvy. </t>
  </si>
  <si>
    <t>Závazek Moravskoslezského kraje byl schválen usnesením zastupitelstva kraje č. 11/1225 ze dne 13.3.2019 v min. výši 393 mil. Kč. Závazek trvá od prosince 2019 do prosince 2025 na základě uzavřené smlouvy.</t>
  </si>
  <si>
    <t>Zajištění dopravní obslužnosti v Moravskoslezském kraji veřejnou drážní osobní dopravou na trať 312 Bruntál - Malá Morávka, „Prázdninový provoz“ na území Moravskoslezského kraje od července 2019 do prosince 2025 - 6. provozní soubor</t>
  </si>
  <si>
    <t>Závazek Moravskoslezského kraje byl schválen usnesením zastupitelstva kraje č. 12/1399 ze dne 13.6.2019 v max. výši 5,5 mil. Kč. Závazek trvá od července 2019 do prosince 2025.</t>
  </si>
  <si>
    <t>Zajištění dopravní obslužnosti v Moravskoslezkém kraji veřejnou drážní osobní dopravou na území Zlínského kraje na trati 323 Ostrava – Valašské Meziříčí od prosince 2020 do prosince 2025</t>
  </si>
  <si>
    <t>08225/2020/DSH</t>
  </si>
  <si>
    <t>Závazek Moravskoslezského kraje byl schválen usnesením zastupitesltva kraje č. 17/2043 ze dne 3.9.2020 ve výši 35 mil. Kč. Závazek trvá do roku 2025.</t>
  </si>
  <si>
    <t>Dohoda o zapojení a podmínkcách integrace vlaků dopravce do Integrovaného dopravního systému ODIS</t>
  </si>
  <si>
    <t>České dráhy, a.s.
(70994226),
Koordinátor ODIS, s.r.o. 
(64613895)</t>
  </si>
  <si>
    <t>Dopravní obslužnost - drážní doprava</t>
  </si>
  <si>
    <t>Závazek Moravskoslezského kraje byl schválen usnesením zastupitelstva kraje č. 15/1485 ze dne 25.6.2015 v min. výši 556.283.000 Kč. Finanční prostředky na zajištění financování v případě jednotlivých let tak budou nárokovány v rámci návrhu rozpočtu Moravskoslezského kraje pro jednotlivé roky, na základě schváleného usnesení zastupitelstvem kraje, avšak vždy poníženy o předpokládané ovlivňující další faktory (výše tržeb, příspěvek obcí, inflace/deflace). Zastupitelstvo kraje usnesením č. 16/1914 ze dne 4.6.2020 rozhodlo postupovat vůči dopravci ČSAD Havířov a.s. dle varianty C ve věci úpravě mezd řidičů, vyvolané změnou příslušné právní úpravy. Navýšení závazku Moravskoslezského kraje v celkové výši 28.110.704 Kč (z toho 2020: 1.756.919 Kč, 2021-2025: 26.353.785 Kč).</t>
  </si>
  <si>
    <t>Závazek Moravskoslezského kraje byl schválen usnesením zastupitelstva kraje č. 16/1564 ze dne 25.9.2015 v min. výši 894.289.000 Kč. Závazek trvá do roku 2026. Finanční prostředky na zajištění financování v případě jednotlivých let tak budou nárokovány v rámci návrhu rozpočtu Moravskoslezského kraje pro jednotlivé roky, na základě schváleného usnesení zastupitelstvem kraje, avšak vždy poníženy o předpokládané ovlivňující další faktory (výše tržeb, příspěvek obcí, inflace/deflace). Zastupitelstvo kraje usnesením č. 16/1914 ze dne 4.6.2020 rozhodlo postupovat vůči dopravci ČSAD Havířov a.s. dle varianty C ve věci úpravě mezd řidičů, vyvolané změnou příslušné právní úpravy. Navýšení závazku Moravskoslezského kraje v celkové výši 50.459.782 Kč  (z toho 2020: 2.655.778 Kč, 2021-2026: 47.804.004 Kč).</t>
  </si>
  <si>
    <t>ČSAD Karviná, a.s.
(45192090)</t>
  </si>
  <si>
    <t xml:space="preserve">Závazek Moravskoslezského kraje byl schválen usnesením zastupitelstva kraje č. 3/132 ze dne 16.3.2017 v min. výši 766.976.184 Kč. Závazek trvá do června 2028. Finanční prostředky na zajištění financování v případě jednotlivých let tak budou nárokovány v rámci návrhu rozpočtu Moravskoslezského kraje pro jednotlivé roky, na základě schváleného usnesení zastupitelstvem kraje, avšak vždy poníženy o předpokládané ovlivňující další faktory (výše tržeb, příspěvek obcí, inflace/deflace). </t>
  </si>
  <si>
    <t>Závazek Moravskoslezského kraje byl schválen usnesením zastupitelstva kraje č.  3/132 ze dne 16.3.2017 v min. výši 1.051.495.848 Kč. Závazek trvá do června 2028. Finanční prostředky na zajištění financování v případě jednotlivých let tak budou nárokovány v rámci návrhu rozpočtu Moravskoslezského kraje pro jednotlivé roky, na základě schváleného usnesení zastupitelstvem kraje, avšak vždy poníženy o předpokládané ovlivňující další faktory (výše tržeb, příspěvek obcí, inflace/deflace). Závazek bude trvat do roku 2028.</t>
  </si>
  <si>
    <t xml:space="preserve">Závazek Moravskoslezského kraje byl schválen usnesením zastupitelstva kraje č. 3/132 ze dne 16.3.2017 v min. výši 335.673.000 Kč, který byl následně změněn usnesením zastupitelstva kraje č. 6/542 ze dne 14.12.2017 na min. výši 412.490.000 Kč. Závazek trvá do roku 2028. Finanční prostředky na zajištění financování konkrétních smluv v případě jednotlivých let tak budou nárokovány v rámci návrhu rozpočtu Moravskoslezského kraje pro jednotlivé roky, na základě schváleného usnesení zastupitelstvem kraje, avšak vždy poníženy o předpokládané ovlivňující další faktory (výše tržeb, příspěvek obcí, inflace/deflace). </t>
  </si>
  <si>
    <t>ČSAD Vsetín, a.s.
(45192120)</t>
  </si>
  <si>
    <t xml:space="preserve">Závazek Moravskoslezského kraje byl schválen usnesením zastupitelstva kraje č. 3/132 ze dne 16.3.2017 v min. výši 1.825.200.000 Kč, který byl následně změněn usnesením zastupitelstva kraje č. 6/542 ze dne 14.12.2017 na min. výši 1.945.866.000 Kč. Závazek trvá do roku 2028. Finanční prostředky na zajištění financování konkrétních smluv v případě jednotlivých let tak budou nárokovány v rámci návrhu rozpočtu Moravskoslezského kraje pro jednotlivé roky, na základě schváleného usnesení zastupitelstvem kraje, avšak vždy poníženy o předpokládané ovlivňující další faktory (výše tržeb, příspěvek obcí, inflace/deflace). </t>
  </si>
  <si>
    <t>Závazek Moravskoslezského kraje byl schválen usnesením zastupitelstva kraje č. 3/132 ze dne 16.3.2017 v min. výši 1.357.200.000 Kč, který byl následně změněn usnesením zastupitelstva kraje č. 6/542 ze dne 14.12.2017 na min. výši 1.543.256.000 Kč. Závazek trvá do roku 2028. Finanční prostředky na zajištění financování konkrétních smluv v případě jednotlivých let tak budou nárokovány v rámci návrhu rozpočtu Moravskoslezského kraje pro jednotlivé roky, na základě schváleného usnesení zastupitelstvem kraje, avšak vždy poníženy o předpokládané ovlivňující další faktory (výše tržeb, příspěvek obcí, inflace/deflace). Závazek bude trvat do roku 2028.</t>
  </si>
  <si>
    <t>Závazek Moravskoslezského kraje byl schválen usnesením zastupitelstva kraje č. 4/253 ze dne 15.6.2017 v min. výši 1.076.400.000 Kč, který byl následně změněn usnesením zastupitelstva kraje č. 6/542 ze dne 14.12.2017 na min. výši 1.215.734.000 Kč.  Závazek trvá do roku 2029. Finanční prostředky na zajištění financování konkrétních smluv v případě jednotlivých let tak budou nárokovány v rámci návrhu rozpočtu Moravskoslezského kraje pro jednotlivé roky, na základě schváleného usnesení zastupitelstvem kraje, avšak vždy poníženy o předpokládané ovlivňující další faktory (výše tržeb, příspěvek obcí, inflace/deflace). Závazek bude trvat do roku 2029.</t>
  </si>
  <si>
    <t>Závazek Moravskoslezského kraje byl schválen usnesením zastupitelstva kraje č. 4/253 ze dne 15.6.2017 v min. výši 702.000.000 Kč, který byl následně změněn usnesením zastupitelstva kraje č. 6/542 ze dne 14.12.2017 na min. výši 731.120.000 Kč. Závazek trvá do roku 2029. Finanční prostředky na zajištění financování konkrétních smluv v případě jednotlivých let tak budou nárokovány v rámci návrhu rozpočtu Moravskoslezského kraje pro jednotlivé roky, na základě schváleného usnesení zastupitelstvem kraje, avšak vždy poníženy o předpokládané ovlivňující další faktory (výše tržeb, příspěvek obcí, inflace/deflace).</t>
  </si>
  <si>
    <t>Závazek Moravskoslezského kraje byl schválen usnesením zastupitelstva kraje č. 4/253 ze dne 15.6.2017 v min. výši 1.638.000.000 Kč, který byl následně změněn usnesením zastupitelstva kraje č. 6/542 ze dne 14.12.2017 na min. výši 1.729.000.000 Kč. ávazek trvá do roku 2029. Finanční prostředky na zajištění financování konkrétních smluv v případě jednotlivých let tak budou nárokovány v rámci návrhu rozpočtu Moravskoslezského kraje pro jednotlivé roky, na základě schváleného usnesení zastupitelstvem kraje, avšak vždy poníženy o předpokládané ovlivňující další faktory (výše tržeb, příspěvek obcí, inflace/deflace). Závazek bude trvat do roku 2029.</t>
  </si>
  <si>
    <t>Závazek Moravskoslezského kraje byl schválen usnesením zastupitelstva kraje č. 5/420 ze dne 14.9.2017 v min. výši 538.200.000 Kč, který byl následně změněn usnesením zastupitelstva kraje č. 6/542 ze dne 14.12.2017 na min. výši 568.100.000 Kč. Závazek trvá do roku 2028. Finanční prostředky na zajištění financování konkrétních smluv v případě jednotlivých let tak budou nárokovány v rámci návrhu rozpočtu Moravskoslezského kraje pro jednotlivé roky, na základě schváleného usnesení zastupitelstvem kraje, avšak vždy poníženy o předpokládané ovlivňující další faktory (výše tržeb, příspěvek obcí, inflace/deflace). Závazek bude trvat do roku 2028.</t>
  </si>
  <si>
    <t>Závazek Moravskoslezského kraje byl schválen usnesením zastupitelstva kraje č. 5/420 ze dne 14.9.2017 v min. výši 959.400.000 Kč, který byl následně změněn usnesením zastupitelstva kraje č. 6/542 ze dne 14.12.2017 na min. výši 1.012.700.000 Kč. Závazek trvá do roku 2028. Finanční prostředky na zajištění financování konkrétních smluv v případě jednotlivých let tak budou nárokovány v rámci návrhu rozpočtu Moravskoslezského kraje pro jednotlivé roky, na základě schváleného usnesení zastupitelstvem kraje, avšak vždy poníženy o předpokládané ovlivňující další faktory (výše tržeb, příspěvek obcí, inflace/deflace). Závazek bude trvat do roku 2028.</t>
  </si>
  <si>
    <t>Závazek Moravskoslezského kraje byl schválen usnesením zastupitelstva kraje č. 5/420 ze dne 14.9.2017 v min. výši 678.600.000 Kč, který byl následně změněn usnesením zastupitelstva kraje č. 6/542 ze dne 14.12.2017 na min. výši 716.300.000 Kč. Závazek trvá do roku 2028. Finanční prostředky na zajištění financování konkrétních smluv v případě jednotlivých let tak budou nárokovány v rámci návrhu rozpočtu Moravskoslezského kraje pro jednotlivé roky, na základě schváleného usnesení zastupitelstvem kraje, avšak vždy poníženy o předpokládané ovlivňující další faktory (výše tržeb, příspěvek obcí, inflace/deflace). Závazek bude trvat do roku 2028.</t>
  </si>
  <si>
    <t>Závazek Moravskoslezského kraje byl schválen usnesením zastupitelstva kraje č. 6/553 ze dne 14.12.2017 v min. výši 1.050.244.000 Kč.. Závazek trvá do roku 2029. Finanční prostředky na zajištění financování konkrétních smluv v případě jednotlivých let tak budou nárokovány v rámci návrhu rozpočtu Moravskoslezského kraje pro jednotlivé roky, na základě schváleného usnesení zastupitelstvem kraje, avšak vždy poníženy o předpokládané ovlivňující další faktory (výše tržeb, příspěvek obcí, inflace/deflace). Závazek bude trvat do roku 2029.</t>
  </si>
  <si>
    <t>ČSAD Havířov, a.s.
(45192081)</t>
  </si>
  <si>
    <r>
      <t>Závazek Moravskoslezského kraje byl schválen usnesením zastupitelstva kraje č. 4/253 ze dne 15.6.2017 (min. výše 1.123.200.000 Kč), č. 6/542 ze dne 14.12.2017 (min. výše 1.185.600.000 Kč) , který byl následně změněn usnesením zastupitelstva kraje č. 11/1228 ze dne 13.3.2019 na minimální výši 1.310.400.000 Kč.</t>
    </r>
    <r>
      <rPr>
        <b/>
        <sz val="8"/>
        <rFont val="Tahoma"/>
        <family val="2"/>
        <charset val="238"/>
      </rPr>
      <t xml:space="preserve"> </t>
    </r>
    <r>
      <rPr>
        <sz val="8"/>
        <rFont val="Tahoma"/>
        <family val="2"/>
        <charset val="238"/>
      </rPr>
      <t>Závazek trvá do roku 2030. Finanční prostředky na zajištění financování konkrétních smluv v případě jednotlivých let tak budou nárokovány v rámci návrhu rozpočtu Moravskoslezského kraje pro jednotlivé roky, na základě schváleného usnesení zastupitelstvem kraje, avšak vždy poníženy o předpokládané ovlivňující další faktory (výše tržeb, příspěvek obcí, inflace/deflace). Závazek bude trvat do roku 2030.</t>
    </r>
  </si>
  <si>
    <t>Závazek Moravskoslezského kraje byl schválen usnesením zastupitelstva kraje č. 9/966 ze dne 13.9.2018 v min výši 2.460.000 Kč. Závazek bude trvat do roku 2023.</t>
  </si>
  <si>
    <t>Město Šenov
(00297291)</t>
  </si>
  <si>
    <t>Závazek Moravskoslezského kraje byl schválen usnesením zastupitelstva kraje č. 9/966 ze dne 13.9.2018 v min. výši 615.000 Kč. Závazek bude trvat do roku 2023.</t>
  </si>
  <si>
    <t>Závazek Moravskoslezského kraje byl schválen usnesením zastupitelstva kraje č.9/966 ze dne 13.9.2018 v min. výši 202.190.000 Kč. Závazek trvá od roku 2019 do roku 2028.</t>
  </si>
  <si>
    <t>Závazek Moravskoslezského kraje byl schválen usnesením zastupitelstva kraje č. 9/966 ze dne 13.9.2018 v min. výši 19.782.500 Kč. Závazek trvá od roku 2019 do roku 2028.</t>
  </si>
  <si>
    <t>Závazek Moravskoslezského kraje byl schválen usnesením zastupitelstva kraje č. 9/966 ze dne 13.9.2018 v min. výši 106.708.686 Kč. Závazek trvá od roku 2019 do roku 2024.</t>
  </si>
  <si>
    <t>Olomoucký kraj
(60609460)</t>
  </si>
  <si>
    <t>Zastupitelstvo kraje svým usnesením č. 3/131 ze dne 16.3.2017 rozhodlo o uzavření smlouvy o finanční spolupráci ve veřejné linkové osobní dopravě mezi Moravskoslezským krajem a Olomouckým krajem. Dále usnesením zastupitelstva kraje č. 6/541 ze dne 14.12.2017 byl schválen závazek v min. výši 56 mil. Kč. Závazek trvá od 1.1.2018 do 31.12.2027.</t>
  </si>
  <si>
    <t xml:space="preserve">Zastupitelstvo kraje svým usnesením č. 21/2211 ze dne 22.9.2016 rozhodlo o uzavření smlouvy o finanční spolupráci ve veřejné linkové osobní dopravě mezi Moravskoslezským krajem a Zlínským krajem. Dále usnesením zastupitelstva kraje č. 10/1083 ze dne 13.12.2018 byl schválen závazek v min. výši 24 mil. Kč. Závazek trvá od od 9.12.2018 do 31.12.2028. </t>
  </si>
  <si>
    <t>Zajištění dopravní obslužnosti linkovou dopravou - oblast Havířovsko 1</t>
  </si>
  <si>
    <t>01347/2020/DSH</t>
  </si>
  <si>
    <t>Závazek Moravskoslezského kraje byl schválen usnesením zastupitelstva kraje č. 12/1405 ze dne 13.6.2019  v max. výši 1.947.322.000 Kč pro oblast Havířovsko 1 + Havířovsko 2. Závazek bude trvat do roku 2030. Finanční prostředky na zajištění financování konkrétní smlouvy v případě jednotlivých let tak budou nárokovány v rámci návrhu rozpočtu Moravskoslezského kraje pro jednotlivé roky, na základě schváleného usnesení zastupitelstvem kraje, avšak vždy poníženy o předpokládané ovlivňující další faktory (výše tržeb, příspěvek obcí, inflace/deflace).</t>
  </si>
  <si>
    <t>Zajištění dopravní obslužnosti linkovou dopravou - oblast Havířovsko 2</t>
  </si>
  <si>
    <t>01350/2020/DSH</t>
  </si>
  <si>
    <t>Závazek Moravskoslezského kraje byl schválen usnesením zastupitelstva kraje č. 12/1405 ze dne 13.6.2019 v max. výši 1.947.322.000 Kč pro oblast Havířovsko 1 + Havířovsko 2. Finanční prostředky na zajištění financování konkrétní smlouvy v případě jednotlivých let tak budou nárokovány v rámci návrhu rozpočtu Moravskoslezského kraje pro jednotlivé roky, na základě schváleného usnesení zastupitelstvem kraje, avšak vždy poníženy o předpokládané ovlivňující další faktory (výše tržeb, příspěvek obcí, inflace/deflace).</t>
  </si>
  <si>
    <t>Zajištění dopravní obslužnosti linkovou dopravou - oblast Havířovsko 3</t>
  </si>
  <si>
    <t>Veřejná zakázka</t>
  </si>
  <si>
    <t>dosud neuzavřeno</t>
  </si>
  <si>
    <t>Závazek Moravskoslezského kraje byl schválen usnesením zastupitelstva kraje č. 17/2041 ze dne 3.9.2020 v max. výši 1.039.486.500 Kč. Závazek bude trvat po dobu 10 let od zahájení služeb.  Finanční prostředky na zajištění financování konkrétní smlouvy v případě jednotlivých let tak budou nárokovány v rámci návrhu rozpočtu Moravskoslezského kraje pro jednotlivé roky, na základě schváleného usnesení zastupitelstvem kraje, avšak vždy poníženy o předpokládané ovlivňující další faktory (výše tržeb, příspěvek obcí, inflace/deflace).</t>
  </si>
  <si>
    <t>Memorandum o spolupráci na rozvoji vodíkových technologií v dopravě se statutárním městěm Ostrava</t>
  </si>
  <si>
    <t>08455/2018/DSH/1</t>
  </si>
  <si>
    <t>Závazek Moravskoslezského kraje ve výši 14,1 mil. Kč pro rok 2022 byl schválen usnesení zastupitelstva kraje č. 17/2048 ze dne 3.9.2020.</t>
  </si>
  <si>
    <t>Dopravní obslužnost - linková doprava</t>
  </si>
  <si>
    <t>Polskie Linie Lotnicze "LOT" S.A.</t>
  </si>
  <si>
    <t>00617/2020/DSH</t>
  </si>
  <si>
    <t>Závazek Moravskoslezského kraje byl schválen usnesením zastupitelstva kraje č. 12/1400 ze dne 13.6.2019 a usnesením č. 14/1674 ze dne 12.12.2019 byla schválena jeho aktulizace. Aktualizovaný závazek byl schválen v max. výši 800 tis. EUR/ rok na dobu 5 let od zahájení  leteckého spojení. Rada kraje projedná přerušení smlouvy na období cca 1/2 roku čímž dojde k prodloužení trvání smlouvy o stejné období.</t>
  </si>
  <si>
    <t>Dopravní obslužnost - letecká doprava</t>
  </si>
  <si>
    <t>Smlouva o spolupráci při přípravě a realizaci stavby "Úprava křižovatky silnic III/04825 a III/4863 v Příboře" s městem Příbor a obcemi Kateřinice a Trnávka</t>
  </si>
  <si>
    <t>Město Příbor
(00298328),
obec Kateřinice
(00600784),
obec Trnávka
(00848441)</t>
  </si>
  <si>
    <t>00174/2021/DSH</t>
  </si>
  <si>
    <t>Závazek Moravskoslezského kraje pro rok 2022, vyplývající ze smlouvy 00174/2021/DSH o spolupráci při přípravě a realizaci stravby v Příboře, byl schválen usnesením zastupitelstva č. 2/47 ze dne 17.12.2020.</t>
  </si>
  <si>
    <t>Doprava - ostatní</t>
  </si>
  <si>
    <t>ODVĚTVÍ DOPRAVY  CELKEM</t>
  </si>
  <si>
    <t>ODVĚTVÍ CHYTRÉHO REGIONU:</t>
  </si>
  <si>
    <t xml:space="preserve">Řízení toků energií v rámci energetických komunit (Moravskoslezské datové centrum, příspěvková organizace kraje) </t>
  </si>
  <si>
    <t>Moravskoslezské energetické centrum, příspěvková organizace kraje
(03103820)</t>
  </si>
  <si>
    <t>Vybudování výzkumné infrastruktury - Centra energetických a enviromentálních technologií - Explorer</t>
  </si>
  <si>
    <t>Vysoká škola báňská – Technická univerzita Ostrava (61989100)</t>
  </si>
  <si>
    <t>07116/2020/DSH</t>
  </si>
  <si>
    <t>Závazek Moravskoslezského kraje na realizaci projetku "Vybudování výzkumné infrastruktury - Centra energetických a environmentálních technologií - Explorer" byl schválen usnesení zastupitelstva kraje č. 17/2047 ze dne 3.9.2020 ve výši 4.200 tis. Kč na rok 2022 a ve výši 1.400 tis. Kč na rok 2023.</t>
  </si>
  <si>
    <t>Master IT Techologies, a.s.,     (27851931)</t>
  </si>
  <si>
    <t>Závazek na "Komplexní zajištění služby inteligentního parkovacího systému v okolí KÚ" vyplývající z uzavřené smlouvy na 48 měsíců od uzavření smlouvy č. 02108/2019/KŘ, o které rozhodla RK usnesením č. 64/5787 ze dne 11.6.2019. Upraveno usn. RK č. 88/7687 ze dne 18.5.20, usnesením zastupitelstva kraje č. 16/1916 ze dne 4. 6. 2020 rozhodnuto o dofinancování dlouhodobého závazku.</t>
  </si>
  <si>
    <t>ODVĚTVÍ  CHYTRÉHO REGIONU CELKEM</t>
  </si>
  <si>
    <t>Z.L.D. s.r.o.             (25631365)</t>
  </si>
  <si>
    <t>0155</t>
  </si>
  <si>
    <t xml:space="preserve"> 03873/2019/KH</t>
  </si>
  <si>
    <t>Memorandum o spolupráci při přípravě a realizaci projektu "Výstavba nového koncertního sálu jako přístavba Domu kultury města Ostravy" se statutárním městem Ostrava, IČO: 00845451 a Českou republikou - Ministerstvem kultury, IČO: 00023671</t>
  </si>
  <si>
    <t>Česká republika - Ministerstvo kultury (00023671),                     Statutární město Ostrava                    (00845451)</t>
  </si>
  <si>
    <t>04849/2018/KPP</t>
  </si>
  <si>
    <t>Průmyslový park Nový Jičín - Dolní Předměstí, II. Etapa - rozšíření průmyslové zóny</t>
  </si>
  <si>
    <t>Město Nový Jičín         (298212)</t>
  </si>
  <si>
    <t>00696/2016/RRC</t>
  </si>
  <si>
    <t>Usnesení zastupitelstva kraje č. 17/1764 ze dne 17.12.2015 a č. 12/1457 ze dne 13.6.2019 (prodloužení časové použitelnosti). Zastupitelstvo kraje usnesením č. 16/1954 ze dne 4.6.2020 schválilo prodloužení časové použitelnosti. Dle podmínek uzavřeného dodatku by mělo dojít k výplatě finančních prostředků až v roce 2022.</t>
  </si>
  <si>
    <t>Moravskoslezský pakt zaměstnanosti, z.s.
(07864507)</t>
  </si>
  <si>
    <t>Podpora obnovy a rozvoje venkova Moravskoslezského kraje 2021</t>
  </si>
  <si>
    <t>Usnesení zastupitelstva kraje č. 3/199 ze dne 17.3.2021. Jedná se o výplatu druhých splátek dotací po předložení závěrečných vyúčtování v rámci dotačního programu.</t>
  </si>
  <si>
    <t>Program na podporu přípravy projektové dokumentace 2018</t>
  </si>
  <si>
    <t>Program na podporu přípravy projektové dokumentace 2020</t>
  </si>
  <si>
    <t>Program na podporu přípravy projektové dokumentace 2021</t>
  </si>
  <si>
    <t>VŠB-TUO                    (61989100),                   Slezská univerzita v Opavě (47813059),                      Ostravská univerzita (61988987)</t>
  </si>
  <si>
    <t>Dotační program Podpora vědy a výzkumu v Moravskoslezském kraji 2020</t>
  </si>
  <si>
    <t>08078/2020/RRC, 07824/2020/RRC, 08077/2020/RRC</t>
  </si>
  <si>
    <t>Usnesení zastupitelstva kraje č. 17/2094 ze dne 3.9.2020.</t>
  </si>
  <si>
    <t>Dotační program – Program na podporu stáží žáků a studentů ve firmách 2021</t>
  </si>
  <si>
    <t>více subjektů</t>
  </si>
  <si>
    <t>Podpora podnikání v Moravskoslezském kraji 2021</t>
  </si>
  <si>
    <t>Podpora znevýhodněných oblastí Moravskoslezského kraje</t>
  </si>
  <si>
    <t>Usnesení zastupitelstva kraje č. 17/2095 ze dne 3.9.2020.</t>
  </si>
  <si>
    <t>Černá louka, s.r.o. (26879280),                            VŠB-TUO                            (61989100)</t>
  </si>
  <si>
    <t>Evropská kulturní stezka sv. Cyrila a Metoděje
(02057531)</t>
  </si>
  <si>
    <t>Úprava lyžařských běžeckých tras vedoucí ve vrcholné části Národní přírodní rezervace Praděd</t>
  </si>
  <si>
    <t>Vojenská lázeňská a rekreační zařízení
(00000582)</t>
  </si>
  <si>
    <t>00036/2020/RRC</t>
  </si>
  <si>
    <t>Usnesení zastupitelstva kraje č. 14/1718 ze dne 12.12.2019.</t>
  </si>
  <si>
    <t>Lyžařské běžecké trasy vokolí Vrbna pod Pradědem</t>
  </si>
  <si>
    <t>Sportovní klub ve Vrbně pod Pradědem,                   (47656409)</t>
  </si>
  <si>
    <t>00038/2020/RRC</t>
  </si>
  <si>
    <t>Usnesení zastupitelstva kraje č. 14/1652 ze dne 12.12.2019.</t>
  </si>
  <si>
    <t>Podpora systému destinačního managementu turistických oblastí 2021-22</t>
  </si>
  <si>
    <t>Usnesení zastupitelstva kraje č. 3/202 ze dne 17.3.2021.</t>
  </si>
  <si>
    <t>Hry "Olympiády dětí a mládeže"</t>
  </si>
  <si>
    <t>Zastupitelstvo kraje schválilo usn. 3/247 ze dne 17.3.2021 závazek Moravskoslezského kraje pro rok 2022 ve výši 2.700.000 Kč vyvolaný schválením účasti sportovní reprezentace Moravskoslezského kraje na Hrách X. letní olympiády dětí a mládeže České republiky v roce 2022.</t>
  </si>
  <si>
    <t xml:space="preserve">Memorandum o vzájemné spolupráci Moravskoslezského kraje, Statutárního města Ostrava, ČSAD Ostrava, a.s. a Spolku na podporu sportu, dětí a mládeže, z.s. </t>
  </si>
  <si>
    <t>Statutární město Ostrava
(00845451),
ČSAD Ostrava, a.s.
(45192057), 
Spolek na podporu sportu, dětí a mládeže, z.s.
(06560750)</t>
  </si>
  <si>
    <t>01129/2020/ŠMS</t>
  </si>
  <si>
    <t>Dohoda o společném postupu při řešení převodu činnosti zabezpečované příspěvkovou organizací kraje Střední odborná škola waldorfská, Ostrava, příspěvková organizace, IČO 70947911</t>
  </si>
  <si>
    <t>Statutární město Ostrava- městský obvod Poruba (00845451)</t>
  </si>
  <si>
    <t>06454/2020/ŠMS</t>
  </si>
  <si>
    <t>Usnesením ZK č. 17/2118 ze dne 3.9.2020 byla schválena Dohoda o společném postupu při řešení převodu činnosti zabezpečované příspěvkovou organizací kraje Střední odborná škola waldorfská, Ostrava, příspěvková organizace, IČO 70947911. Součástí dohody je závazek kraje poskytnout částku 1,5 mil. Kč ročně po dobu 6 let za splnění podmínky, že bude převáděná činnost vykonávána od prvního ročníku střední školy.</t>
  </si>
  <si>
    <t>DNS a.s.
(25146441)</t>
  </si>
  <si>
    <t>08184/2019/INF</t>
  </si>
  <si>
    <t>Závazek kraje vyplývající ze smlouvy č. 08184/2019/INF uzavřené s dodavatelem na poskytování licence k SW produktům Microsoft (Microsoft Enrollment for Education Solutions).</t>
  </si>
  <si>
    <t>Městská nemocnice Ostrava, příspěvková organizace               (00635162),                     AJNA dental clinic s.r.o. (06701493)</t>
  </si>
  <si>
    <t>00542/2020/ZDR, 00543/2020/ZDR, 02023/2020/ZDR</t>
  </si>
  <si>
    <t>OR-CZ spol. s r.o.
(48168921)</t>
  </si>
  <si>
    <t>Závazek kraje vyplývající ze smlouvy č. 03554/2018/ZDR na technickou a sevisní podporu v rámci elektronizace procesů podpory sdílení dat a komunikace ve zdravotnictví.</t>
  </si>
  <si>
    <t>Stabilizace zdravotnického personálu a vzdělávání - Podpora navýšení počtů studentů prvních ročníků lékařské fakulty</t>
  </si>
  <si>
    <t>Ostravská univerzita (61988987)</t>
  </si>
  <si>
    <t>Zajištění ohledání těl zemřelých</t>
  </si>
  <si>
    <t>900</t>
  </si>
  <si>
    <t>1. KORONERSKÁ s.r.o. Trutnov, Poříčí, Benešova 141 (01681486)</t>
  </si>
  <si>
    <t>08439/2020/ZDR</t>
  </si>
  <si>
    <t>Protialkoholní záchytná stanice</t>
  </si>
  <si>
    <t>901</t>
  </si>
  <si>
    <t>Usnesením č. 17/2070  z 3.9.2020 rozhodlo zastupitelstvo kraje o závazku kraje v předpokládané výši 11.000.000 Kč ročně k zajištění protialkoholní a protitoxikomanické záchytné služby na území statutárního města Ostravy, a to na období 2021-2023.</t>
  </si>
  <si>
    <t>Kotlíkové dotace v Moravskoslezském kraji 3. grantové schéma (AMO)</t>
  </si>
  <si>
    <t>Fyzické osoby</t>
  </si>
  <si>
    <t>Usnesení zastupitelstva kraje č. 15/1844 ze dne 5.3.2020 a usnesení zastupitelstva kraje č. 14/1728 ze dne 12.12.2019.</t>
  </si>
  <si>
    <t>Aktualizace č. 4 Zásad územního rozvoje Moravskoslezského kraje</t>
  </si>
  <si>
    <t>Ateliér Cihlář-Svoboda s.r.o. (08438391)</t>
  </si>
  <si>
    <t>00636/2020/ÚPS</t>
  </si>
  <si>
    <t>ODVĚTVÍ ÚZEMNÍHO PLÁNOVÁNÍ A STAVEBNÍHO ŘÁDU CELKEM</t>
  </si>
  <si>
    <t xml:space="preserve">RUČITELSKÉ ZÁVAZKY </t>
  </si>
  <si>
    <t xml:space="preserve"> - </t>
  </si>
  <si>
    <t xml:space="preserve">Poznámka              </t>
  </si>
  <si>
    <t>Zajištění dopravní obslužnosti v Moravskoslezském kraji veřejnou drážní osobní dopravou na úseku linky S1, tratě 321  - 2. Provozní soubor</t>
  </si>
  <si>
    <t>Usnesením ZK č. 15/1879 ze dne 5.3.2020 byl schválen závazek kraje v maximální výši 80 mil. Kč k zajištění podpory k vybudování Multifunkční sportovní haly v Ostravě na ulici U Stadiónu v Ostravě - Moravské Ostravě, a to na období let 2021 - 2023. Úprava závazku je předložena na zasedání zastupitestva dne 17.6.2021.</t>
  </si>
  <si>
    <t xml:space="preserve">Usnesení zastupitelstva kraje č. 17/2092 ze dne 3.9.2020 a snížení závazku je předloženo ke schválení zastupitelstvu kraje na zasedání dne 17.6.2021 </t>
  </si>
  <si>
    <t>Usnesení zastupitelstva kraje č. 3/196 ze dne 17.3.2021. Zvýšení závazku dofinancovat program z rozpočtu kraje na rok 2022 a schválení závazku dofinancovat program z rozpočtu kraje na rok 2023 je předložen ke schválení zastupitelstvu kraje na zasedání dne 17.6.2021.</t>
  </si>
  <si>
    <t>Závazek dofinancovat dotační program z rozpočtu kraje na rok 2022 je předložen ke schválení na zasedání zastupitelstva kraje dne 17.6.2021.</t>
  </si>
  <si>
    <t>Závazek na rok 2023 je předložen ke schválení na zasedání zastupitelstva kraje dne 17.6.2021.</t>
  </si>
  <si>
    <t>Závazek na rok 2022 je předložen ke schválení na zasedání zastupitelstva kraje dne 17.6.2021.</t>
  </si>
  <si>
    <t>Závazek na léta 2022 - 2024 je předložen ke schválení na zasedání zastupitelstva kraje dne 17.6.2021.</t>
  </si>
  <si>
    <t>3384</t>
  </si>
  <si>
    <t>Technická pomoc III - Podpora aktivit v rámci Programu Interreg V-A ČR-PL 2021-2023</t>
  </si>
  <si>
    <t>xxxx</t>
  </si>
  <si>
    <t>Světlo památkám. Odhalené dědictví polsko-čekého pohraničí</t>
  </si>
  <si>
    <t>Snížení energetické náročnosti budov v areálu drobnochovu Školního statku Opava na ulici Statková využitím OZE</t>
  </si>
  <si>
    <t>Snížení energetické náročnosti budovy v hlavním areálu Školního statku Opava na ulici Englišova</t>
  </si>
  <si>
    <t>Snížení energetické náročnosti budov Masarykové střední školy zemědělské a Vyšší odborné školy v Opavě využitím OZE a KVET</t>
  </si>
  <si>
    <t>Zařízení pro úpravu zdravotnických odpadů (Nemocnice s poliklinikou Havířov, p.o.)</t>
  </si>
  <si>
    <t>Zařízení pro úpravu zdravotnických odpadů (Nemocnice ve Frýdku - Místku, p.o.)</t>
  </si>
  <si>
    <t>Snížení energetické náročnosti budov v areálu Slezské nemocnice v Opavě využitím OZE a KVET u hlavních budov - hlavní budova I</t>
  </si>
  <si>
    <t>Snížení energetické náročnosti budov v areálu Slezské nemocnice v Opavě využitím OZE a KVET u hlavních budov - hlavní budova II</t>
  </si>
  <si>
    <t>Snížení energetické náročnosti budov v areálu Slezské nemocnice v Opavě využitím OZE u vedlejších budov</t>
  </si>
  <si>
    <t>ODVĚTVÍ CHYTRÉHO REGIONU CELKEM</t>
  </si>
  <si>
    <t>ODVĚTVÍ ÚZEMNÍ PLÁNOVÁNÍ:</t>
  </si>
  <si>
    <t>ODVĚTVÍ ÚZEMNÍ PLÁNOVÁNÍ CELKEM</t>
  </si>
  <si>
    <t>Zastupitelstvo kraje rozhodlo o profinancování a kofinancování projektu usnesením č. 2/65 ze dne 17.12.2020.</t>
  </si>
  <si>
    <t>Zastupitelstvo kraje rozhodlo o profinancování a kofinancování projektu usnesením č. 2/55 ze dne 17.12.2020.</t>
  </si>
  <si>
    <t>Zastupitelstvo kraje rozhodlo o profinancování a kofinancování projektu usnesením č. 3/185 ze dne 17.3.2021.</t>
  </si>
  <si>
    <t>Zastupitelstvo kraje rozhodlo o profinancování a kofinancování projektu usnesením č. 17/2087 ze dne 3.9.2020. Projekt je financován formou záloh.</t>
  </si>
  <si>
    <t>Zastupitelstvo kraje rozhodlo o profinancování a kofinancování projektu usnesením č. 2/57 ze dne 17.12.2020 .</t>
  </si>
  <si>
    <t>Zastupitelstvo kraje rozhodlo o profinancování a kofinancování projektu usnesením č. 14/1712 ze dne 12.12.2019.</t>
  </si>
  <si>
    <t>Zastupitelstvo kraje usnesením 15/1844 ze dne 5.3.2020 rozhodlo o závazku kraje přispět všem konečným uživatelům na výměnu kotle a schválilo předfinancování příspěvků obcí.</t>
  </si>
  <si>
    <t>Usnesení o schválení závazku na období prosinec 2023 do prosince 2027 je předloženo na jednání zastupitelství kraje dne 17.6.2021.</t>
  </si>
  <si>
    <t>ODVĚTVÍ  CHYTRÉHO REGIONU:</t>
  </si>
  <si>
    <t>Zastupitelstvo kraje rozhodlo o profinancování a kofinancování projektu usnesením č. 2/68 ze dne 22.12.2016. Projekt je financován formou záloh.</t>
  </si>
  <si>
    <t>Zastupitelstvo kraje rozhodlo o profinancování a kofinancování projektu usnesením č. 14/1704 ze dne 12.12.2019. Projekt je financován formou záloh.</t>
  </si>
  <si>
    <t>Zastupitelstvo kraje rozhodlo o kofinancování projektu usnesením č. 3/183 ze dne 17.3.2021.</t>
  </si>
  <si>
    <t>Zastupitelstvo kraje rozhodlo o profinancování projektu usnesením č. 17/2029 dne 3.9.2020.</t>
  </si>
  <si>
    <t>Zastupitelstvo kraje rozhodlo o profinancování a kofinancování projektu usnesením č. 15/1821 ze dne 5.3.2020.</t>
  </si>
  <si>
    <t>Zastupitelstvo kraje rozhodlo o profinancování a kofinancování projektu usnesením č. 16/1927 ze dne  4.6.2020.</t>
  </si>
  <si>
    <t>Zastupitelstvo kraje rozhodlo o profinancování a kofinancování projektu usnesením č. 6/557 ze dne 14.12.2017.</t>
  </si>
  <si>
    <t xml:space="preserve">Letiště Leoše Janáčka Ostrava, výstavba odbavovací plochy APN S3 </t>
  </si>
  <si>
    <t>Rekonstrukce silnice III/47811, II/478 Ostrava, ulice Mitrovická (Správa silnic Moravskoslezského kraje, příspěvková organizace)</t>
  </si>
  <si>
    <t>Rekonstrukce vzletové a přistávací dráhy a navazujících provozních ploch Letiště Leoše Janáčka Ostrava</t>
  </si>
  <si>
    <t>Silnice II/478 Nová Krmelínská Ostrava a Mostní II. etapa</t>
  </si>
  <si>
    <t>Okružní křižovatka na ul. Gen. Hlaďo v Novém Jičíně</t>
  </si>
  <si>
    <t>Podpora rozvoje muzejnictví v Moravskoslezském kraji - příspěvkové organizace MSK (odbor KPP)</t>
  </si>
  <si>
    <t>Zámek Nová Horka - dobudování infrastruktury (Muzeum Novojičínska, příspěvková organizace)</t>
  </si>
  <si>
    <t>Zámek Bruntál - revitalizace objektu (Muzeum v Bruntále, příspěvková organizace)</t>
  </si>
  <si>
    <t>Nákup budov a pozemků v Opavě (Sírius, příspěvková organizace)</t>
  </si>
  <si>
    <t>Chráněné bydlení Hynaisova (Fontána, příspěvková organizace)</t>
  </si>
  <si>
    <t>Výstavba domova pro seniory a domova se zvláštním režimem Kopřivnice (Nová PO odboru SOC)</t>
  </si>
  <si>
    <t>Rekonstrukce budovy a spojovací chodby Máchova (Domov Duha, příspěvková organizace)</t>
  </si>
  <si>
    <t>Výstavba administrativní budovy (Fontána, příspěvková organizace)</t>
  </si>
  <si>
    <t>Stavební úpravy části školy pro potřeby Vzdělávacího a výcvikového střediska a umístění sídla Správy silnic MSK v Ostravě-Zábřeh (Střední škola stavební a dřevozpracující, Ostrava, příspěvková organizace)</t>
  </si>
  <si>
    <t>Rekonstrukce školního dvora (Matiční gymnázium, Ostrava, příspěvková organizace)</t>
  </si>
  <si>
    <t>Vybudování čističky odpadních vod (Dětský domov a Školní jídelna, Radkov-Dubová 141, příspěvková organizace)</t>
  </si>
  <si>
    <t>Instalace sálavého vytápění a obložení stěn tělocvičny (Základní škola, Ostrava-Poruba, Čkalovova 942, příspěvková organizace)</t>
  </si>
  <si>
    <t>Rekonstrukce elektroinstalace (Gymnázium, Krnov, příspěvková organizace)</t>
  </si>
  <si>
    <t>Rekonstrukce střechy a zateplení fasády (Gymnázium Třinec, příspěvková organizace)</t>
  </si>
  <si>
    <t>Celková oprava střechy (Dětský domov a Školní jídelna, Radkov-Dubová 141, příspěvková organizace)</t>
  </si>
  <si>
    <t>Vybavení rekonstruovaných objektů Polského gymnázia (Polské gymnázium - Polskie Gimnazjum im. Juliusza Słowackiego, Český Těšín, příspěvková organizace)</t>
  </si>
  <si>
    <t>Rekonstrukce objektu na ul .B. Němcové, Opava (Střední odborné učiliště stavební, Opava, příspěvková organizace)</t>
  </si>
  <si>
    <t>Využití objektu v Bílé (Vzdělávací a sportovní centrum, Bílá, příspěvková organizace)</t>
  </si>
  <si>
    <t>Sportovní areál na ul. Komenského, Opava (Mendelovo gymnázium, Opava, příspěvková organizace)</t>
  </si>
  <si>
    <t>Oprava izolačních vrstev střešního pláště (Střední škola prof. Zdeňka Matějčka, Ostrava-Poruba, příspěvková organizace)</t>
  </si>
  <si>
    <t>Rekonstrukce nádvoří (Střední zdravotnická škola a Vyšší odborná škola zdravotnická,  Ostrava, příspěvková organizace)</t>
  </si>
  <si>
    <t>ODVĚTVÍ DOPRAVY CELKEM</t>
  </si>
  <si>
    <t>BILANCE PŘÍJMŮ A VÝDAJŮ V LETECH 2022 - 2025</t>
  </si>
  <si>
    <t>Výhled 2024</t>
  </si>
  <si>
    <t>Výhled 2025</t>
  </si>
  <si>
    <t>Nespecifikované výdaje</t>
  </si>
  <si>
    <t>%
Výhled 23 / 
Výhled 22</t>
  </si>
  <si>
    <t>%
Výhled 24 / Výhled 23</t>
  </si>
  <si>
    <t>%
Výhled 25 / Výhled 24</t>
  </si>
  <si>
    <t xml:space="preserve"> - vrácené návratné finanční výpomoci od příspěvkových organizací</t>
  </si>
  <si>
    <t xml:space="preserve"> - vrácené návratné finanční výpomoci od jiných subjektů</t>
  </si>
  <si>
    <t xml:space="preserve"> - příjmy z pronájmu</t>
  </si>
  <si>
    <t xml:space="preserve"> - dotace od ostatních subjektů</t>
  </si>
  <si>
    <t xml:space="preserve"> - doprava - dopravní obslužnost drážní</t>
  </si>
  <si>
    <t xml:space="preserve"> - doprava - dopravní obslužnost linková</t>
  </si>
  <si>
    <t xml:space="preserve"> - doprava - ostatní</t>
  </si>
  <si>
    <t xml:space="preserve"> - chytrý region</t>
  </si>
  <si>
    <t xml:space="preserve"> - doprava</t>
  </si>
  <si>
    <t>Výdaje financované z očekávaných účelových dotací ze státního rozpočtu</t>
  </si>
  <si>
    <t>Výdaje financované ze zálohových plateb u projektů spolufinancovaných zálohově z evr. fin. zdrojů</t>
  </si>
  <si>
    <t>PŘEHLED OČEKÁVANÝCH ÚČELOVÝCH DOTACÍ V LETECH 2022 - 2025</t>
  </si>
  <si>
    <t>Kotlíkové dotace v Moravskoslezském kraji - 3. grantové schéma AMO</t>
  </si>
  <si>
    <t>Výstavba domova pro seniory a domova se zvláštním režimem Kopřivnice - ISPROFIN</t>
  </si>
  <si>
    <t>Rekonstrukce budovy a spojovací chodby Máchova (Domov Duha, příspěvková organizace, Nový Jičín) - ISPROFIN</t>
  </si>
  <si>
    <t>Rekonstrukce vzletové a přistávací dráhy a navazujících provozních ploch Letiště Leoše Janáčka Ostrava</t>
  </si>
  <si>
    <t>OBCE A KRAJE</t>
  </si>
  <si>
    <t>OSTATNÍ SUBJEKTY</t>
  </si>
  <si>
    <t>Slezská univerzita v Opavě - dotace na spolufinancování projektu Technologická a podnikatelská akademie a digitální, inovační a mediální laboratoř</t>
  </si>
  <si>
    <t>Příspěvek na výkon sociální práce (s výjimkou sociálně-právní ochrany dětí)</t>
  </si>
  <si>
    <t>Podpora expozičních a výstavních projektů</t>
  </si>
  <si>
    <t>Program ochrany měkkých cílů v oblasti kultury</t>
  </si>
  <si>
    <t>ISO II/D preventivní ochrana před nepříznivými vlivy prostředí - neinvestiční</t>
  </si>
  <si>
    <t>Program regenerace městských památkových rezervací a městských památkových zón - neinvestice</t>
  </si>
  <si>
    <t>ISO II/A zabezpečení objektů - investiční</t>
  </si>
  <si>
    <t>Podpora standardizovaných veřejných služeb muzeí a galerií</t>
  </si>
  <si>
    <t>Akviziční fond – IV</t>
  </si>
  <si>
    <t>ISO C Výkupy předmětů kulturní hodnoty mimořádného významu – investiční</t>
  </si>
  <si>
    <t>Obce MSK - dotace na projekt Centrum veřejných energetiků</t>
  </si>
  <si>
    <t xml:space="preserve">Bilance příjmů a výdajů v letech 2022 - 2025 </t>
  </si>
  <si>
    <t>Přehled očekávaných účelových dotací v letech 2022 – 2025</t>
  </si>
  <si>
    <t>Zastupitelstvu kraje je předložen návrh na schválení financování akce na zasedání dne 17. 6. 2021.</t>
  </si>
  <si>
    <t>nová</t>
  </si>
  <si>
    <t>Financování akce bylo schváleno na jednání zastupitelstva kraje usnesením č. 2/21 ze dne 17. 12. 2020.</t>
  </si>
  <si>
    <t>Financování akce bylo schváleno na jednání zastupitelstva kraje usnesením č. 3/210 ze dne 17. 3. 2021.</t>
  </si>
  <si>
    <t xml:space="preserve">Zastupitelstvo kraje rozhodlo o profinancování a kofinancování projektu usnesením č. 15/1838 ze dne 5.3.2020. Dne 17. 6. 2021 je zastupitelstvu kraje předložen návrh na schválení profinancování a kofinancování dodatečných aktivit projektu v letech 2021 - 2023. </t>
  </si>
  <si>
    <r>
      <t xml:space="preserve">ČS
</t>
    </r>
    <r>
      <rPr>
        <sz val="10"/>
        <rFont val="Tahoma"/>
        <family val="2"/>
        <charset val="238"/>
      </rPr>
      <t xml:space="preserve">(smlouva o úvěru 
</t>
    </r>
    <r>
      <rPr>
        <b/>
        <sz val="10"/>
        <rFont val="Tahoma"/>
        <family val="2"/>
        <charset val="238"/>
      </rPr>
      <t>ve výši 3 mld. Kč</t>
    </r>
    <r>
      <rPr>
        <sz val="10"/>
        <rFont val="Tahoma"/>
        <family val="2"/>
        <charset val="238"/>
      </rPr>
      <t>)</t>
    </r>
  </si>
  <si>
    <r>
      <t xml:space="preserve">NOVÝ ÚVĚR </t>
    </r>
    <r>
      <rPr>
        <sz val="10"/>
        <rFont val="Tahoma"/>
        <family val="2"/>
        <charset val="238"/>
      </rPr>
      <t>(předfinancování projektů EU) - pro bilanci Střednědobého výhledu rozpočtu</t>
    </r>
  </si>
  <si>
    <r>
      <t>2024</t>
    </r>
    <r>
      <rPr>
        <b/>
        <vertAlign val="superscript"/>
        <sz val="10"/>
        <rFont val="Tahoma"/>
        <family val="2"/>
        <charset val="238"/>
      </rPr>
      <t xml:space="preserve"> 1)</t>
    </r>
  </si>
  <si>
    <r>
      <t>2025</t>
    </r>
    <r>
      <rPr>
        <b/>
        <vertAlign val="superscript"/>
        <sz val="10"/>
        <rFont val="Tahoma"/>
        <family val="2"/>
        <charset val="238"/>
      </rPr>
      <t xml:space="preserve"> 1)</t>
    </r>
  </si>
  <si>
    <t>1) Pro léta 2021 až 2025 se jedná o očekávanou skutečnost k 31.12.20xx</t>
  </si>
  <si>
    <t>na léta 2022 – 2025</t>
  </si>
  <si>
    <t>Závazek Moravskoslezského kraje byl schválen usnesením zastupitelstva kraje č. 3/169 ze dne 17.3.2021 v max. výši 30 mil. Kč k úhradě protarifovací ztráty na základě Dohody o zapojení a podmínkách integrace vlaků dopravce do Integrovaného dopravního systému ODIS. Závazek bude trvat do roku 2027.</t>
  </si>
  <si>
    <t>Zastupitelstvo kraje usnesením č.  14/1673 ze dne 12. 12. 2019 rozhodlo uzavřít s městem Nový Jičín memorandum o spolupráci.</t>
  </si>
  <si>
    <t>2021-2023</t>
  </si>
  <si>
    <t>Integrované výjezdové centrum Kopřivnice (IVC) - výjezdová základna ZZS MSK</t>
  </si>
  <si>
    <t xml:space="preserve">Memorandum o vzájemné spolupráci a finanční podpoře pro Mistrovství světa IIHF v ledním hokeji 2024 v České republice </t>
  </si>
  <si>
    <t>Závazek kraje vyplývající z členství Moravskoslezského kraje v Asociaci krajů České republiky. Členství bylo schváleno usnesením zastupitelstva kraje č. 47/M1 ze dne 12.2.2001 a to na dobu neurčitou. Navýšení příspěvku z 800 tis. Kč na 900 tis. Kč z důvodu  zvýšených nákladů provozu videokonferenčního systému AKČR (usnesení AKČR).</t>
  </si>
  <si>
    <t>Usnesením č. 16/1943 z 4.6.2020 rozhodlo zastupitelstvo kraje o závazku kraje v minimální výši 9.000.000 Kč ročně k zajištění prohlídek těl zemřelých v Moravskoslezském kraji, a to na období 2021-2023, dle předloženého materiálu.</t>
  </si>
  <si>
    <r>
      <t>UKAZATELE ZADLUŽENOSTI (</t>
    </r>
    <r>
      <rPr>
        <b/>
        <i/>
        <sz val="12"/>
        <rFont val="Tahoma"/>
        <family val="2"/>
        <charset val="238"/>
      </rPr>
      <t>včetně dalšího plánovaného úvěru pro roky 2024 až 2025</t>
    </r>
    <r>
      <rPr>
        <b/>
        <sz val="12"/>
        <rFont val="Tahoma"/>
        <family val="2"/>
        <charset val="238"/>
      </rPr>
      <t>)</t>
    </r>
  </si>
  <si>
    <t>Přístavba tělocvičny (Gymnázium, Třinec, přípspěvková organizace)</t>
  </si>
  <si>
    <t xml:space="preserve">Kooperativa pojištovna, a.s., Vienna Insurance Group                 (47116617),                 Generali Česká pojišťovna, a.s.                              (45272956)      </t>
  </si>
  <si>
    <t>Zajištění dopravní obslužnosti v Moravskoslezském kraji veřejnou drážní osobní dopravou na trati 313 Milotice nad Opavou – Vrbno pod Pradědem v Moravskoslezském kraji, od prosince 2019 do prosince 2025 - 4. Provozní soubor</t>
  </si>
  <si>
    <r>
      <t xml:space="preserve">Závazek Moravskoslezského kraje na účasti příspěvkové organizace, jako dalšího účastníka v projektu „Řízení toků energií v rámci energetických komunit“ prioritního výzkumného cíle „Rozvoj digitálních technologií pro distribuovanou energetiku – block chain“ předloženého do 4. veřejné soutěže podprogramu 2 – Strategické energetické technologie, programu THÉTA Technologické agentury České republiky je přeložen na jednání zastupitelstva kraje </t>
    </r>
    <r>
      <rPr>
        <b/>
        <sz val="8"/>
        <rFont val="Tahoma"/>
        <family val="2"/>
        <charset val="238"/>
      </rPr>
      <t xml:space="preserve"> </t>
    </r>
    <r>
      <rPr>
        <sz val="8"/>
        <rFont val="Tahoma"/>
        <family val="2"/>
        <charset val="238"/>
      </rPr>
      <t>dne 17.6.2021 v maximální výši 700 tis. Kč na rok 2022-2024.</t>
    </r>
  </si>
  <si>
    <t>ODVĚTVÍ  FINANCÍ A SPRÁVY MAJETKU CELKEM</t>
  </si>
  <si>
    <t>PŘEHLED SPLÁCENÍ JISTINY A ÚROKŮ Z ÚVĚRŮ ČERPANÝCH MORAVSKOSLEZSKÝM KRAJEM</t>
  </si>
  <si>
    <t>Příloha č. 2</t>
  </si>
  <si>
    <t>Statutární město Ostrava - dotace na spolufinancování projektu Černá kostka - centrum digitalizace, vědy a inovací a Přístavba Domu umění</t>
  </si>
  <si>
    <t>Zastupitelstvo kraje rozhodlo o profinancování a kofinancování projektu usnesením č. 5/455 ze dne 14.9.2017.</t>
  </si>
  <si>
    <t>Zastupitelstvo kraje rozhodlo o profinancování a kofinancování projektu usnesením č. 4/309 ze dne 15.6.2017. Pozastaven usn. č. 20/1839 ze dne 12.9.2017. Po opětovném zahájení přípravných prací bude v r. 2021 aktualizován výše a období profinancování a kofinancování projektu.</t>
  </si>
  <si>
    <t>Zastupitelstvo kraje rozhodlo o profinancování a kofinancování projektu usnesením č. 4/309 ze dne 15.6.2017. Pozastaven usn. č. 20/1840 ze dne 12.9.2017. Po opětovném zahájení přípravných prací bude v r. 2021 aktualizován výše a období profinancování a kofinancování projektu.</t>
  </si>
  <si>
    <t>Zastupitelstvo kraje rozhodlo o profinancování a kofinancování projektu usnesením č. 21/2254 ze dne 22.  9. 2016, ve znění změn usnesením č. 8/852 ze dne 14.6.2018 a č. 2/84 ze dne 17.12.2020.</t>
  </si>
  <si>
    <t>Zastupitelstvo kraje rozhodlo o profinancování a kofinancování projektu usnesením č. 9/974 z 13.9.2018, ve znění změn usnesení č. 17/2060 z 3.9.2020  a č. 3/189 ze dne 17.3.2021.</t>
  </si>
  <si>
    <t>Zastupitelstvo kraje rozhodlo o profinancování a kofinancování projektu usnesením č. 9/974 z 13.9.2018, ve znění změn usnesení č. 10/1094 z 13.12.2018, č. 17/2060 z 3.9.2020  a č. 3/189 ze dne 17.3.2021.</t>
  </si>
  <si>
    <t>Zastupitelstvo kraje rozhodlo o profinancování a kofinancování projektu usnesením č. 21/2245 ze dne 22.9.2016, ve znění změn usnesení č. 8/852 ze 14.6.2018, č. 2/84 ze dne 17.12.2020.</t>
  </si>
  <si>
    <t>Zastupitelstvo kraje rozhodlo o profinancování a kofinancování projektu usnesením č. 17/2060 ze dne 3.9.2020.</t>
  </si>
  <si>
    <t>Zastupitelstvo kraje rozhodlo o profinancování a kofinancování projektu usnesením č. 15/1841 ze dne 5.3.2020.</t>
  </si>
  <si>
    <t>Zastupitelstvu kraje je předložen návrh na schválení profinancování a kofinancování projektu na jeho zasedání dne 17.6.2021.</t>
  </si>
  <si>
    <t>Zastupitelstvo kraje rozhodlo o profinancování a kofinancování projektu usnesením č. 3/187 ze dne 17.3.2021.</t>
  </si>
  <si>
    <t>Zastupitelstvo kraje rozhodlo o profinancování a kofinancování projektu usnesením č. 2/54 ze dne 17.12.2020.</t>
  </si>
  <si>
    <t>Zastupitelstvo kraje rozhodlo o profinancování a kofinancování projektu usnesením č. 3/190 ze dne 17.3.2021.</t>
  </si>
  <si>
    <t>Zastupitelstvo kraje rozhodlo o profinancování a kofinancování projektu usnesením č. 17/2088 ze dne 3.9.2020.</t>
  </si>
  <si>
    <t>Zastupitelstvo kraje rozhodlo o profinancování a kofinancování projektu usnesením č. 9/1004 ze dne 13.9.2018.</t>
  </si>
  <si>
    <t>Zastupitelstvo kraje rozhodlo o profinancování a kofinancování projektu usnesením č. 10/1130 ze dne 13.12.2018.</t>
  </si>
  <si>
    <t>Zastupitelstvo kraje rozhodlo o profinancování a kofinancování projektu usnesením č. 14/1687 ze dne 12.12.2019.</t>
  </si>
  <si>
    <t>Zastupitelstvo kraje rozhodlo o profinancování a kofinancování projektu usnesením č. 3/186 ze dne 17.3.2021.</t>
  </si>
  <si>
    <t>Zastupitelstvo kraje rozhodlo o profinancování a kofinancování projektu usnesením č. 3/232 ze dne 17.3.2021.</t>
  </si>
  <si>
    <t>Zastupitelstvo kraje rozhodlo o profinancování a kofinancování projektu usnesením č. 3/188 ze dne 17.3.2021.</t>
  </si>
  <si>
    <t>Zastupitelstvo kraje rozhodlo o profinancování a kofinancování projektu usnesením č. 21/2254 ze dne 22.9.2016 ve znění změn usnesení č. 3/189 ze dne 17.3.2021.</t>
  </si>
  <si>
    <t>Zastupitelstvo kraje rozhodlo o kofinancování projektu a poskytnutí návratné finanční výpomoci usnesením č. 10/1100 ze dne 13.12.2018 ze znění změn usnesení č. 13/1566 ze dne 12.9.2019.</t>
  </si>
  <si>
    <t>Zastupitelstvo kraje rozhodlo o kofinancování projektu a poskytnutí návratné finanční výpomoci usnesením č. 3/182 ze dne 17.3.2021.</t>
  </si>
  <si>
    <t>Usnesením rady kraje č. 96/8408 ze dne 21.9.2020 bylo rozhodnuto o uzavření smlouvy se subjektem  VÍTKOVICE IT SOLUTIONS  a.s. na nákup a servis serverů. Servisní podpora bude hrazena ročně po dobu pěti let před začátkem ročního období.</t>
  </si>
  <si>
    <t>Servisní podpora související s nákupem nových serverů</t>
  </si>
  <si>
    <t>ODVĚTVÍ PREZENTACE KRAJE A EDIČNÍHO PLÁNU:</t>
  </si>
  <si>
    <t>ODVĚTVÍ PREZENTACE KRAJE A EDIČNÍHO PLÁNU CELKEM</t>
  </si>
  <si>
    <t>Smlouva o poskytnutí úvěrového rámce ve výši 1.000.000 tis. Kč mezi UniCredit Bank Czech Republic and Slovakia, a.s. a Moravskoslezským krajem - splátky jistin</t>
  </si>
  <si>
    <t>Smlouva o poskytnutí úvěrového rámce ve výši 1.000.000 tis. Kč mezi UniCredit Bank Czech Republic and Slovakia, a.s. a Moravskoslezským krajem - platba úroků</t>
  </si>
  <si>
    <t>Smlouva o poskytnutí úvěrového rámce ve výši 1.009.700 tis. Kč mezi UniCredit Bank Czech Republic and Slovakia, a. s. a Moravskoslezským krajem II - refinancování úvěru EIB - splátky jistin</t>
  </si>
  <si>
    <t>Smlouva o poskytnutí úvěrového rámce ve výši 1.009.700 tis. Kč mezi UniCredit Bank Czech Republic and Slovakia, a. s. a Moravskoslezským krajem II - refinancování úvěru EIB - platba úroků</t>
  </si>
  <si>
    <t>Smlouva o poskytnutí úvěrového rámce ve výši 3 mld. Kč mezi Českou spořitelnou, a. s. a Moravskoslezským krajem - splátky jistin</t>
  </si>
  <si>
    <t>Smlouva o poskytnutí úvěrového rámce ve výši 3 mld. Kč mezi Českou spořitelnou, a. s. a Moravskoslezským krajem - platba úroků</t>
  </si>
  <si>
    <t xml:space="preserve">Poznámka                                                         </t>
  </si>
  <si>
    <t>02780/2015/RRC, 01309/2019/RRC</t>
  </si>
  <si>
    <t>Novostavba Moravskoslezské vědecké knihovny (Moravskoslezská vědecká knihovna v Ostravě, příspěvková organizace) *)</t>
  </si>
  <si>
    <t>*) Příprava projektu Černá kostka - Centrum digitalizace, vědy a inovací</t>
  </si>
  <si>
    <t>Svazek obcí mikroregionu Hlučínska (70951047)</t>
  </si>
  <si>
    <t>07227/2018/RRC</t>
  </si>
  <si>
    <t>Závazek Moravskoslezského kraje byl schválen usnesením zastupitelstva kraje č. 14/1665 ze dne 12.12.2019.</t>
  </si>
  <si>
    <t>Závazek Moravskoslezského kraje byl schválen usnesením zastupitelstva kraje č. 2/21 ze dne 17. 12. 2020. Jedná se o natočení unikátního televizního časosběrného dokumentu, který by zachytil architektonický boom ve všech jeho etapách při proměnách města Ostravy, čímž by došlo ke zviditelnění celého Moravskoslezského kraje také prostřednictvím architektonicky unikátních staveb.</t>
  </si>
  <si>
    <t>Závazek Moravskoslezského kraje byl schválen usnesením zastupitelstva kraje č. 2/21 ze dne 17. 12. 2020. Jedná se o podporu navýšení počtu studentů prvních ročníků studijních programů vyučovaných na Lékařské fakultě Ostravské univerzity po dobu 6-ti let.</t>
  </si>
  <si>
    <t>Ručitelský závazek MSK za závazky společnosti VaK Bruntál, a.s. - stav k 31.12.2020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</si>
</sst>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 _K_č"/>
    <numFmt numFmtId="166" formatCode="#,##0\ _K_č;\-#,##0\_\K_č"/>
    <numFmt numFmtId="167" formatCode="0.0%"/>
  </numFmts>
  <fonts count="77" x14ac:knownFonts="1">
    <font>
      <sz val="10"/>
      <name val="Arial"/>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2"/>
      <name val="Tahoma"/>
      <family val="2"/>
      <charset val="238"/>
    </font>
    <font>
      <b/>
      <sz val="12"/>
      <name val="Tahoma"/>
      <family val="2"/>
      <charset val="238"/>
    </font>
    <font>
      <sz val="10"/>
      <name val="Tahoma"/>
      <family val="2"/>
      <charset val="238"/>
    </font>
    <font>
      <i/>
      <sz val="10"/>
      <name val="Tahoma"/>
      <family val="2"/>
      <charset val="238"/>
    </font>
    <font>
      <b/>
      <sz val="10"/>
      <name val="Tahoma"/>
      <family val="2"/>
      <charset val="238"/>
    </font>
    <font>
      <b/>
      <sz val="12"/>
      <color indexed="60"/>
      <name val="Tahoma"/>
      <family val="2"/>
      <charset val="238"/>
    </font>
    <font>
      <i/>
      <sz val="8"/>
      <name val="Tahoma"/>
      <family val="2"/>
      <charset val="238"/>
    </font>
    <font>
      <b/>
      <i/>
      <sz val="10"/>
      <name val="Tahoma"/>
      <family val="2"/>
      <charset val="238"/>
    </font>
    <font>
      <i/>
      <sz val="12"/>
      <name val="Tahoma"/>
      <family val="2"/>
      <charset val="238"/>
    </font>
    <font>
      <b/>
      <sz val="12"/>
      <color indexed="10"/>
      <name val="Tahoma"/>
      <family val="2"/>
      <charset val="238"/>
    </font>
    <font>
      <b/>
      <i/>
      <sz val="12"/>
      <color indexed="10"/>
      <name val="Tahoma"/>
      <family val="2"/>
      <charset val="238"/>
    </font>
    <font>
      <b/>
      <sz val="8"/>
      <color indexed="10"/>
      <name val="Tahoma"/>
      <family val="2"/>
      <charset val="238"/>
    </font>
    <font>
      <sz val="11"/>
      <color indexed="8"/>
      <name val="Calibri"/>
      <family val="2"/>
      <charset val="238"/>
    </font>
    <font>
      <sz val="11"/>
      <color indexed="9"/>
      <name val="Calibri"/>
      <family val="2"/>
      <charset val="238"/>
    </font>
    <font>
      <sz val="11"/>
      <color indexed="17"/>
      <name val="Calibri"/>
      <family val="2"/>
      <charset val="238"/>
    </font>
    <font>
      <b/>
      <sz val="11"/>
      <color indexed="9"/>
      <name val="Calibri"/>
      <family val="2"/>
      <charset val="238"/>
    </font>
    <font>
      <sz val="11"/>
      <color indexed="60"/>
      <name val="Calibri"/>
      <family val="2"/>
      <charset val="238"/>
    </font>
    <font>
      <sz val="10"/>
      <color theme="1"/>
      <name val="Arial"/>
      <family val="2"/>
      <charset val="238"/>
    </font>
    <font>
      <sz val="10"/>
      <name val="Arial CE"/>
      <charset val="238"/>
    </font>
    <font>
      <sz val="11"/>
      <color indexed="52"/>
      <name val="Calibri"/>
      <family val="2"/>
      <charset val="238"/>
    </font>
    <font>
      <b/>
      <sz val="11"/>
      <color indexed="8"/>
      <name val="Calibri"/>
      <family val="2"/>
      <charset val="238"/>
    </font>
    <font>
      <sz val="11"/>
      <color indexed="10"/>
      <name val="Calibri"/>
      <family val="2"/>
      <charset val="238"/>
    </font>
    <font>
      <b/>
      <sz val="18"/>
      <color indexed="56"/>
      <name val="Cambria"/>
      <family val="2"/>
      <charset val="238"/>
    </font>
    <font>
      <i/>
      <sz val="11"/>
      <color indexed="23"/>
      <name val="Calibri"/>
      <family val="2"/>
      <charset val="238"/>
    </font>
    <font>
      <sz val="11"/>
      <color indexed="20"/>
      <name val="Calibri"/>
      <family val="2"/>
      <charset val="238"/>
    </font>
    <font>
      <b/>
      <sz val="10"/>
      <name val="Tahoma"/>
      <family val="2"/>
    </font>
    <font>
      <sz val="10"/>
      <name val="Tahoma"/>
      <family val="2"/>
    </font>
    <font>
      <sz val="12"/>
      <name val="Times New Roman"/>
      <family val="1"/>
    </font>
    <font>
      <sz val="10"/>
      <name val="Times New Roman"/>
      <family val="1"/>
    </font>
    <font>
      <b/>
      <sz val="14"/>
      <name val="Tahoma"/>
      <family val="2"/>
    </font>
    <font>
      <b/>
      <sz val="12"/>
      <name val="Tahoma"/>
      <family val="2"/>
    </font>
    <font>
      <b/>
      <sz val="9"/>
      <name val="Tahoma"/>
      <family val="2"/>
    </font>
    <font>
      <sz val="9"/>
      <name val="Tahoma"/>
      <family val="2"/>
    </font>
    <font>
      <b/>
      <sz val="9"/>
      <name val="Tahoma"/>
      <family val="2"/>
      <charset val="238"/>
    </font>
    <font>
      <sz val="9"/>
      <name val="Tahoma"/>
      <family val="2"/>
      <charset val="238"/>
    </font>
    <font>
      <sz val="9"/>
      <color theme="1"/>
      <name val="Tahoma"/>
      <family val="2"/>
      <charset val="238"/>
    </font>
    <font>
      <b/>
      <sz val="8"/>
      <name val="Tahoma"/>
      <family val="2"/>
      <charset val="238"/>
    </font>
    <font>
      <sz val="8"/>
      <name val="Tahoma"/>
      <family val="2"/>
      <charset val="238"/>
    </font>
    <font>
      <b/>
      <sz val="10"/>
      <name val="Arial CE"/>
      <charset val="238"/>
    </font>
    <font>
      <sz val="8"/>
      <name val="Arial"/>
      <family val="2"/>
      <charset val="238"/>
    </font>
    <font>
      <sz val="11"/>
      <name val="Calibri"/>
      <family val="2"/>
      <charset val="238"/>
      <scheme val="minor"/>
    </font>
    <font>
      <sz val="8"/>
      <color rgb="FFFF0000"/>
      <name val="Tahoma"/>
      <family val="2"/>
      <charset val="238"/>
    </font>
    <font>
      <b/>
      <sz val="11"/>
      <name val="Tahoma"/>
      <family val="2"/>
      <charset val="238"/>
    </font>
    <font>
      <b/>
      <vertAlign val="superscript"/>
      <sz val="10"/>
      <name val="Tahoma"/>
      <family val="2"/>
      <charset val="238"/>
    </font>
    <font>
      <b/>
      <sz val="10"/>
      <name val="Arial"/>
      <family val="2"/>
      <charset val="238"/>
    </font>
    <font>
      <sz val="12"/>
      <color indexed="10"/>
      <name val="Tahoma"/>
      <family val="2"/>
      <charset val="238"/>
    </font>
    <font>
      <sz val="12"/>
      <color rgb="FFFF0000"/>
      <name val="Tahoma"/>
      <family val="2"/>
      <charset val="238"/>
    </font>
    <font>
      <b/>
      <sz val="10"/>
      <color rgb="FFFF0000"/>
      <name val="Tahoma"/>
      <family val="2"/>
      <charset val="238"/>
    </font>
    <font>
      <sz val="10"/>
      <color rgb="FFFF0000"/>
      <name val="Tahoma"/>
      <family val="2"/>
      <charset val="238"/>
    </font>
    <font>
      <sz val="10"/>
      <color rgb="FFFF0000"/>
      <name val="Arial"/>
      <family val="2"/>
      <charset val="238"/>
    </font>
    <font>
      <b/>
      <sz val="8"/>
      <color rgb="FF0070C0"/>
      <name val="Tahoma"/>
      <family val="2"/>
      <charset val="238"/>
    </font>
    <font>
      <sz val="8"/>
      <color rgb="FF0070C0"/>
      <name val="Tahoma"/>
      <family val="2"/>
      <charset val="238"/>
    </font>
    <font>
      <sz val="10"/>
      <color rgb="FF0070C0"/>
      <name val="Tahoma"/>
      <family val="2"/>
      <charset val="238"/>
    </font>
    <font>
      <sz val="11"/>
      <color rgb="FF0070C0"/>
      <name val="Tahoma"/>
      <family val="2"/>
      <charset val="238"/>
    </font>
    <font>
      <sz val="10"/>
      <color theme="4"/>
      <name val="Tahoma"/>
      <family val="2"/>
      <charset val="238"/>
    </font>
    <font>
      <sz val="8"/>
      <color theme="4"/>
      <name val="Tahoma"/>
      <family val="2"/>
      <charset val="238"/>
    </font>
    <font>
      <sz val="11"/>
      <color theme="4"/>
      <name val="Tahoma"/>
      <family val="2"/>
      <charset val="238"/>
    </font>
    <font>
      <b/>
      <sz val="8"/>
      <color rgb="FF7030A0"/>
      <name val="Tahoma"/>
      <family val="2"/>
      <charset val="238"/>
    </font>
    <font>
      <sz val="9"/>
      <color rgb="FF0070C0"/>
      <name val="Tahoma"/>
      <family val="2"/>
      <charset val="238"/>
    </font>
    <font>
      <b/>
      <sz val="9"/>
      <color rgb="FF0070C0"/>
      <name val="Tahoma"/>
      <family val="2"/>
      <charset val="238"/>
    </font>
    <font>
      <i/>
      <sz val="8"/>
      <color rgb="FF0070C0"/>
      <name val="Tahoma"/>
      <family val="2"/>
      <charset val="238"/>
    </font>
    <font>
      <b/>
      <sz val="8"/>
      <name val="Arial"/>
      <family val="2"/>
      <charset val="238"/>
    </font>
    <font>
      <b/>
      <sz val="11"/>
      <name val="Calibri"/>
      <family val="2"/>
      <charset val="238"/>
      <scheme val="minor"/>
    </font>
    <font>
      <i/>
      <sz val="10"/>
      <color rgb="FFFF0000"/>
      <name val="Tahoma"/>
      <family val="2"/>
      <charset val="238"/>
    </font>
    <font>
      <b/>
      <i/>
      <sz val="12"/>
      <name val="Tahoma"/>
      <family val="2"/>
      <charset val="238"/>
    </font>
  </fonts>
  <fills count="28">
    <fill>
      <patternFill patternType="none"/>
    </fill>
    <fill>
      <patternFill patternType="gray125"/>
    </fill>
    <fill>
      <patternFill patternType="solid">
        <fgColor indexed="9"/>
        <bgColor indexed="64"/>
      </patternFill>
    </fill>
    <fill>
      <patternFill patternType="solid">
        <fgColor indexed="5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11"/>
      </patternFill>
    </fill>
    <fill>
      <patternFill patternType="solid">
        <fgColor indexed="44"/>
      </patternFill>
    </fill>
    <fill>
      <patternFill patternType="solid">
        <fgColor indexed="29"/>
      </patternFill>
    </fill>
    <fill>
      <patternFill patternType="solid">
        <fgColor indexed="51"/>
      </patternFill>
    </fill>
    <fill>
      <patternFill patternType="solid">
        <fgColor indexed="36"/>
      </patternFill>
    </fill>
    <fill>
      <patternFill patternType="solid">
        <fgColor indexed="52"/>
      </patternFill>
    </fill>
    <fill>
      <patternFill patternType="solid">
        <fgColor indexed="30"/>
      </patternFill>
    </fill>
    <fill>
      <patternFill patternType="solid">
        <fgColor indexed="49"/>
      </patternFill>
    </fill>
    <fill>
      <patternFill patternType="solid">
        <fgColor indexed="55"/>
      </patternFill>
    </fill>
    <fill>
      <patternFill patternType="solid">
        <fgColor indexed="43"/>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7"/>
        <bgColor indexed="64"/>
      </patternFill>
    </fill>
    <fill>
      <patternFill patternType="solid">
        <fgColor theme="0"/>
        <bgColor indexed="64"/>
      </patternFill>
    </fill>
    <fill>
      <patternFill patternType="solid">
        <fgColor rgb="FFFFCC99"/>
        <bgColor indexed="64"/>
      </patternFill>
    </fill>
  </fills>
  <borders count="92">
    <border>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8"/>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8"/>
      </left>
      <right style="medium">
        <color indexed="64"/>
      </right>
      <top style="medium">
        <color indexed="64"/>
      </top>
      <bottom style="medium">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s>
  <cellStyleXfs count="72">
    <xf numFmtId="0" fontId="0" fillId="0" borderId="0"/>
    <xf numFmtId="0" fontId="11" fillId="0" borderId="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0" borderId="0" applyNumberFormat="0" applyBorder="0" applyAlignment="0" applyProtection="0"/>
    <xf numFmtId="0" fontId="24" fillId="7" borderId="0" applyNumberFormat="0" applyBorder="0" applyAlignment="0" applyProtection="0"/>
    <xf numFmtId="0" fontId="24" fillId="11" borderId="0" applyNumberFormat="0" applyBorder="0" applyAlignment="0" applyProtection="0"/>
    <xf numFmtId="0" fontId="24" fillId="13" borderId="0" applyNumberFormat="0" applyBorder="0" applyAlignment="0" applyProtection="0"/>
    <xf numFmtId="0" fontId="25" fillId="10"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2" borderId="0" applyNumberFormat="0" applyBorder="0" applyAlignment="0" applyProtection="0"/>
    <xf numFmtId="0" fontId="25" fillId="10" borderId="0" applyNumberFormat="0" applyBorder="0" applyAlignment="0" applyProtection="0"/>
    <xf numFmtId="0" fontId="25" fillId="14" borderId="0" applyNumberFormat="0" applyBorder="0" applyAlignment="0" applyProtection="0"/>
    <xf numFmtId="0" fontId="25" fillId="17" borderId="0" applyNumberFormat="0" applyBorder="0" applyAlignment="0" applyProtection="0"/>
    <xf numFmtId="0" fontId="25" fillId="15" borderId="0" applyNumberFormat="0" applyBorder="0" applyAlignment="0" applyProtection="0"/>
    <xf numFmtId="0" fontId="26" fillId="6" borderId="0" applyNumberFormat="0" applyBorder="0" applyAlignment="0" applyProtection="0"/>
    <xf numFmtId="0" fontId="27" fillId="18" borderId="27" applyNumberFormat="0" applyAlignment="0" applyProtection="0"/>
    <xf numFmtId="0" fontId="28" fillId="19" borderId="0" applyNumberFormat="0" applyBorder="0" applyAlignment="0" applyProtection="0"/>
    <xf numFmtId="0" fontId="11" fillId="0" borderId="0"/>
    <xf numFmtId="0" fontId="11" fillId="0" borderId="0"/>
    <xf numFmtId="0" fontId="11" fillId="0" borderId="0"/>
    <xf numFmtId="0" fontId="11" fillId="0" borderId="0"/>
    <xf numFmtId="0" fontId="29" fillId="0" borderId="0"/>
    <xf numFmtId="0" fontId="11" fillId="0" borderId="0"/>
    <xf numFmtId="0" fontId="30" fillId="0" borderId="0"/>
    <xf numFmtId="0" fontId="24" fillId="20" borderId="28" applyNumberFormat="0" applyFont="0" applyAlignment="0" applyProtection="0"/>
    <xf numFmtId="0" fontId="31" fillId="0" borderId="29" applyNumberFormat="0" applyFill="0" applyAlignment="0" applyProtection="0"/>
    <xf numFmtId="0" fontId="32" fillId="0" borderId="30" applyNumberFormat="0" applyFill="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5"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14" borderId="0" applyNumberFormat="0" applyBorder="0" applyAlignment="0" applyProtection="0"/>
    <xf numFmtId="0" fontId="25" fillId="17" borderId="0" applyNumberFormat="0" applyBorder="0" applyAlignment="0" applyProtection="0"/>
    <xf numFmtId="0" fontId="25" fillId="24" borderId="0" applyNumberFormat="0" applyBorder="0" applyAlignment="0" applyProtection="0"/>
    <xf numFmtId="0" fontId="11" fillId="0" borderId="0"/>
    <xf numFmtId="0" fontId="11" fillId="0" borderId="0"/>
    <xf numFmtId="0" fontId="10" fillId="0" borderId="0"/>
    <xf numFmtId="0" fontId="11" fillId="0" borderId="0"/>
    <xf numFmtId="9" fontId="11" fillId="0" borderId="0" applyFont="0" applyFill="0" applyBorder="0" applyAlignment="0" applyProtection="0"/>
    <xf numFmtId="0" fontId="30" fillId="0" borderId="0"/>
    <xf numFmtId="0" fontId="24" fillId="0" borderId="0"/>
    <xf numFmtId="0" fontId="9" fillId="0" borderId="0"/>
    <xf numFmtId="0" fontId="8" fillId="0" borderId="0"/>
    <xf numFmtId="0" fontId="7" fillId="0" borderId="0"/>
    <xf numFmtId="0" fontId="7" fillId="0" borderId="0"/>
    <xf numFmtId="0" fontId="6" fillId="0" borderId="0"/>
    <xf numFmtId="0" fontId="6" fillId="0" borderId="0"/>
    <xf numFmtId="0" fontId="5" fillId="0" borderId="0"/>
    <xf numFmtId="0" fontId="5" fillId="0" borderId="0"/>
    <xf numFmtId="0" fontId="4" fillId="0" borderId="0"/>
    <xf numFmtId="0" fontId="3" fillId="0" borderId="0"/>
    <xf numFmtId="0" fontId="3" fillId="0" borderId="0"/>
    <xf numFmtId="0" fontId="2" fillId="0" borderId="0"/>
    <xf numFmtId="0" fontId="1" fillId="0" borderId="0"/>
    <xf numFmtId="0" fontId="11" fillId="0" borderId="0">
      <alignment wrapText="1"/>
    </xf>
  </cellStyleXfs>
  <cellXfs count="706">
    <xf numFmtId="0" fontId="0" fillId="0" borderId="0" xfId="0"/>
    <xf numFmtId="0" fontId="12" fillId="0" borderId="0" xfId="1" applyFont="1" applyAlignment="1">
      <alignment vertical="center"/>
    </xf>
    <xf numFmtId="0" fontId="14" fillId="0" borderId="0" xfId="1" applyFont="1" applyAlignment="1">
      <alignment vertical="center"/>
    </xf>
    <xf numFmtId="0" fontId="13" fillId="0" borderId="0" xfId="1" applyFont="1" applyAlignment="1">
      <alignment vertical="center"/>
    </xf>
    <xf numFmtId="0" fontId="17" fillId="2" borderId="0" xfId="1" applyFont="1" applyFill="1" applyAlignment="1">
      <alignment vertical="center"/>
    </xf>
    <xf numFmtId="0" fontId="13" fillId="0" borderId="0" xfId="1" applyFont="1" applyAlignment="1">
      <alignment horizontal="center" vertical="center" wrapText="1"/>
    </xf>
    <xf numFmtId="164" fontId="14" fillId="0" borderId="0" xfId="1" applyNumberFormat="1" applyFont="1" applyAlignment="1">
      <alignment vertical="center"/>
    </xf>
    <xf numFmtId="4" fontId="14" fillId="0" borderId="0" xfId="1" applyNumberFormat="1" applyFont="1" applyAlignment="1">
      <alignment vertical="center"/>
    </xf>
    <xf numFmtId="0" fontId="13" fillId="0" borderId="0" xfId="1" applyFont="1" applyAlignment="1">
      <alignment vertical="center" wrapText="1"/>
    </xf>
    <xf numFmtId="0" fontId="21" fillId="0" borderId="0" xfId="1" applyFont="1" applyAlignment="1">
      <alignment vertical="center"/>
    </xf>
    <xf numFmtId="0" fontId="22" fillId="0" borderId="0" xfId="1" applyFont="1" applyAlignment="1">
      <alignment vertical="center"/>
    </xf>
    <xf numFmtId="1" fontId="37" fillId="25" borderId="17" xfId="1" applyNumberFormat="1" applyFont="1" applyFill="1" applyBorder="1" applyAlignment="1">
      <alignment horizontal="center" vertical="center" wrapText="1"/>
    </xf>
    <xf numFmtId="1" fontId="37" fillId="25" borderId="16" xfId="1" applyNumberFormat="1" applyFont="1" applyFill="1" applyBorder="1" applyAlignment="1">
      <alignment horizontal="center" vertical="center" wrapText="1"/>
    </xf>
    <xf numFmtId="0" fontId="37" fillId="25" borderId="25" xfId="1" applyFont="1" applyFill="1" applyBorder="1" applyAlignment="1">
      <alignment horizontal="center" vertical="center" wrapText="1"/>
    </xf>
    <xf numFmtId="0" fontId="37" fillId="25" borderId="24" xfId="1" applyFont="1" applyFill="1" applyBorder="1" applyAlignment="1">
      <alignment horizontal="center" vertical="center" wrapText="1"/>
    </xf>
    <xf numFmtId="0" fontId="37" fillId="25" borderId="23" xfId="1" applyFont="1" applyFill="1" applyBorder="1" applyAlignment="1">
      <alignment horizontal="center" vertical="center" wrapText="1"/>
    </xf>
    <xf numFmtId="0" fontId="37" fillId="25" borderId="22" xfId="1" applyFont="1" applyFill="1" applyBorder="1" applyAlignment="1">
      <alignment horizontal="center" vertical="center" wrapText="1"/>
    </xf>
    <xf numFmtId="3" fontId="19" fillId="3" borderId="4" xfId="1" applyNumberFormat="1" applyFont="1" applyFill="1" applyBorder="1" applyAlignment="1">
      <alignment horizontal="right"/>
    </xf>
    <xf numFmtId="49" fontId="16" fillId="3" borderId="19" xfId="1" applyNumberFormat="1" applyFont="1" applyFill="1" applyBorder="1" applyAlignment="1">
      <alignment vertical="center"/>
    </xf>
    <xf numFmtId="3" fontId="16" fillId="3" borderId="22" xfId="1" applyNumberFormat="1" applyFont="1" applyFill="1" applyBorder="1" applyAlignment="1">
      <alignment horizontal="right" vertical="center"/>
    </xf>
    <xf numFmtId="3" fontId="19" fillId="3" borderId="5" xfId="1" applyNumberFormat="1" applyFont="1" applyFill="1" applyBorder="1" applyAlignment="1">
      <alignment horizontal="right"/>
    </xf>
    <xf numFmtId="0" fontId="14" fillId="0" borderId="0" xfId="1" applyFont="1"/>
    <xf numFmtId="0" fontId="11" fillId="0" borderId="0" xfId="1"/>
    <xf numFmtId="164" fontId="11" fillId="0" borderId="0" xfId="1" applyNumberFormat="1"/>
    <xf numFmtId="3" fontId="11" fillId="0" borderId="0" xfId="1" applyNumberFormat="1"/>
    <xf numFmtId="49" fontId="14" fillId="0" borderId="0" xfId="1" applyNumberFormat="1" applyFont="1"/>
    <xf numFmtId="0" fontId="39" fillId="0" borderId="0" xfId="1" applyFont="1"/>
    <xf numFmtId="164" fontId="39" fillId="0" borderId="0" xfId="1" applyNumberFormat="1" applyFont="1"/>
    <xf numFmtId="3" fontId="40" fillId="0" borderId="0" xfId="1" applyNumberFormat="1" applyFont="1"/>
    <xf numFmtId="0" fontId="40" fillId="0" borderId="0" xfId="1" applyFont="1"/>
    <xf numFmtId="164" fontId="41" fillId="0" borderId="0" xfId="1" applyNumberFormat="1" applyFont="1" applyAlignment="1">
      <alignment horizontal="center" vertical="center" wrapText="1"/>
    </xf>
    <xf numFmtId="3" fontId="41" fillId="0" borderId="0" xfId="1" applyNumberFormat="1" applyFont="1" applyAlignment="1">
      <alignment horizontal="center" vertical="center" wrapText="1"/>
    </xf>
    <xf numFmtId="0" fontId="12" fillId="0" borderId="0" xfId="0" applyFont="1"/>
    <xf numFmtId="0" fontId="12" fillId="0" borderId="0" xfId="0" applyFont="1" applyAlignment="1">
      <alignment wrapText="1"/>
    </xf>
    <xf numFmtId="0" fontId="12" fillId="0" borderId="0" xfId="0" applyFont="1" applyAlignment="1">
      <alignment horizontal="justify" vertical="center" wrapText="1"/>
    </xf>
    <xf numFmtId="0" fontId="12" fillId="0" borderId="0" xfId="0" applyFont="1" applyAlignment="1">
      <alignment vertical="top"/>
    </xf>
    <xf numFmtId="0" fontId="13" fillId="0" borderId="0" xfId="0" applyFont="1" applyAlignment="1">
      <alignment vertical="center"/>
    </xf>
    <xf numFmtId="0" fontId="11" fillId="0" borderId="0" xfId="51"/>
    <xf numFmtId="0" fontId="11" fillId="0" borderId="0" xfId="51" applyAlignment="1">
      <alignment vertical="center"/>
    </xf>
    <xf numFmtId="0" fontId="45" fillId="25" borderId="44" xfId="34" applyFont="1" applyFill="1" applyBorder="1" applyAlignment="1">
      <alignment horizontal="left" vertical="center" wrapText="1"/>
    </xf>
    <xf numFmtId="0" fontId="45" fillId="25" borderId="10" xfId="34" applyFont="1" applyFill="1" applyBorder="1" applyAlignment="1">
      <alignment horizontal="left" vertical="center" wrapText="1"/>
    </xf>
    <xf numFmtId="3" fontId="45" fillId="25" borderId="10" xfId="34" applyNumberFormat="1" applyFont="1" applyFill="1" applyBorder="1" applyAlignment="1">
      <alignment horizontal="right" vertical="center" wrapText="1"/>
    </xf>
    <xf numFmtId="3" fontId="45" fillId="25" borderId="13" xfId="34" applyNumberFormat="1" applyFont="1" applyFill="1" applyBorder="1" applyAlignment="1">
      <alignment horizontal="right" vertical="center" wrapText="1"/>
    </xf>
    <xf numFmtId="0" fontId="45" fillId="25" borderId="3" xfId="34" applyFont="1" applyFill="1" applyBorder="1" applyAlignment="1">
      <alignment horizontal="left" vertical="center" wrapText="1"/>
    </xf>
    <xf numFmtId="0" fontId="45" fillId="25" borderId="4" xfId="34" applyFont="1" applyFill="1" applyBorder="1" applyAlignment="1">
      <alignment horizontal="left" vertical="center" wrapText="1"/>
    </xf>
    <xf numFmtId="3" fontId="45" fillId="25" borderId="4" xfId="34" applyNumberFormat="1" applyFont="1" applyFill="1" applyBorder="1" applyAlignment="1">
      <alignment horizontal="right" vertical="center" wrapText="1"/>
    </xf>
    <xf numFmtId="0" fontId="45" fillId="25" borderId="14" xfId="34" applyFont="1" applyFill="1" applyBorder="1" applyAlignment="1">
      <alignment horizontal="left" vertical="center" wrapText="1"/>
    </xf>
    <xf numFmtId="0" fontId="45" fillId="25" borderId="42" xfId="34" applyFont="1" applyFill="1" applyBorder="1" applyAlignment="1">
      <alignment horizontal="left" vertical="center" wrapText="1"/>
    </xf>
    <xf numFmtId="3" fontId="45" fillId="25" borderId="42" xfId="34" applyNumberFormat="1" applyFont="1" applyFill="1" applyBorder="1" applyAlignment="1">
      <alignment horizontal="right" vertical="center" wrapText="1"/>
    </xf>
    <xf numFmtId="3" fontId="45" fillId="25" borderId="43" xfId="34" applyNumberFormat="1" applyFont="1" applyFill="1" applyBorder="1" applyAlignment="1">
      <alignment horizontal="right" vertical="center" wrapText="1"/>
    </xf>
    <xf numFmtId="0" fontId="14" fillId="0" borderId="0" xfId="37" applyFont="1"/>
    <xf numFmtId="166" fontId="14" fillId="0" borderId="0" xfId="37" applyNumberFormat="1" applyFont="1" applyAlignment="1">
      <alignment horizontal="right"/>
    </xf>
    <xf numFmtId="0" fontId="14" fillId="0" borderId="0" xfId="37" applyFont="1" applyAlignment="1">
      <alignment horizontal="right"/>
    </xf>
    <xf numFmtId="0" fontId="14" fillId="0" borderId="3" xfId="37" applyFont="1" applyBorder="1" applyAlignment="1">
      <alignment horizontal="center" vertical="center" wrapText="1"/>
    </xf>
    <xf numFmtId="0" fontId="14" fillId="0" borderId="3" xfId="37" applyFont="1" applyBorder="1" applyAlignment="1">
      <alignment horizontal="center" vertical="center"/>
    </xf>
    <xf numFmtId="3" fontId="14" fillId="0" borderId="4" xfId="37" applyNumberFormat="1" applyFont="1" applyBorder="1" applyAlignment="1">
      <alignment vertical="center"/>
    </xf>
    <xf numFmtId="3" fontId="14" fillId="0" borderId="2" xfId="37" applyNumberFormat="1" applyFont="1" applyBorder="1" applyAlignment="1">
      <alignment vertical="center"/>
    </xf>
    <xf numFmtId="3" fontId="14" fillId="0" borderId="49" xfId="37" applyNumberFormat="1" applyFont="1" applyBorder="1" applyAlignment="1">
      <alignment vertical="center"/>
    </xf>
    <xf numFmtId="3" fontId="14" fillId="0" borderId="5" xfId="37" applyNumberFormat="1" applyFont="1" applyBorder="1" applyAlignment="1">
      <alignment vertical="center"/>
    </xf>
    <xf numFmtId="3" fontId="14" fillId="0" borderId="42" xfId="37" applyNumberFormat="1" applyFont="1" applyBorder="1" applyAlignment="1">
      <alignment vertical="center"/>
    </xf>
    <xf numFmtId="3" fontId="14" fillId="0" borderId="58" xfId="37" applyNumberFormat="1" applyFont="1" applyBorder="1" applyAlignment="1">
      <alignment vertical="center"/>
    </xf>
    <xf numFmtId="3" fontId="14" fillId="0" borderId="43" xfId="37" applyNumberFormat="1" applyFont="1" applyBorder="1" applyAlignment="1">
      <alignment vertical="center"/>
    </xf>
    <xf numFmtId="49" fontId="48" fillId="25" borderId="42" xfId="55" applyNumberFormat="1" applyFont="1" applyFill="1" applyBorder="1" applyAlignment="1">
      <alignment horizontal="center" vertical="center" wrapText="1"/>
    </xf>
    <xf numFmtId="0" fontId="14" fillId="0" borderId="0" xfId="52" applyFont="1" applyAlignment="1">
      <alignment vertical="center"/>
    </xf>
    <xf numFmtId="0" fontId="48" fillId="0" borderId="0" xfId="52" applyFont="1" applyAlignment="1">
      <alignment vertical="center" wrapText="1"/>
    </xf>
    <xf numFmtId="4" fontId="48" fillId="0" borderId="0" xfId="52" applyNumberFormat="1" applyFont="1" applyAlignment="1">
      <alignment horizontal="right" vertical="center"/>
    </xf>
    <xf numFmtId="0" fontId="49" fillId="0" borderId="0" xfId="52" applyFont="1" applyAlignment="1">
      <alignment vertical="center"/>
    </xf>
    <xf numFmtId="0" fontId="49" fillId="0" borderId="49" xfId="52" applyFont="1" applyFill="1" applyBorder="1" applyAlignment="1">
      <alignment horizontal="left" vertical="center" wrapText="1"/>
    </xf>
    <xf numFmtId="3" fontId="49" fillId="0" borderId="51" xfId="52" applyNumberFormat="1" applyFont="1" applyFill="1" applyBorder="1" applyAlignment="1">
      <alignment vertical="center"/>
    </xf>
    <xf numFmtId="3" fontId="49" fillId="0" borderId="4" xfId="52" applyNumberFormat="1" applyFont="1" applyFill="1" applyBorder="1" applyAlignment="1">
      <alignment horizontal="right" vertical="center"/>
    </xf>
    <xf numFmtId="0" fontId="48" fillId="25" borderId="15" xfId="52" applyFont="1" applyFill="1" applyBorder="1" applyAlignment="1">
      <alignment vertical="center" wrapText="1"/>
    </xf>
    <xf numFmtId="3" fontId="48" fillId="25" borderId="18" xfId="52" applyNumberFormat="1" applyFont="1" applyFill="1" applyBorder="1" applyAlignment="1">
      <alignment vertical="center" wrapText="1"/>
    </xf>
    <xf numFmtId="0" fontId="49" fillId="25" borderId="16" xfId="52" applyFont="1" applyFill="1" applyBorder="1" applyAlignment="1">
      <alignment horizontal="justify" vertical="center"/>
    </xf>
    <xf numFmtId="3" fontId="49" fillId="0" borderId="4" xfId="52" applyNumberFormat="1" applyFont="1" applyFill="1" applyBorder="1" applyAlignment="1">
      <alignment horizontal="right" vertical="center" wrapText="1"/>
    </xf>
    <xf numFmtId="0" fontId="48" fillId="25" borderId="55" xfId="52" applyFont="1" applyFill="1" applyBorder="1" applyAlignment="1">
      <alignment vertical="center" wrapText="1"/>
    </xf>
    <xf numFmtId="0" fontId="48" fillId="25" borderId="16" xfId="52" applyFont="1" applyFill="1" applyBorder="1" applyAlignment="1">
      <alignment horizontal="justify" vertical="center"/>
    </xf>
    <xf numFmtId="3" fontId="48" fillId="25" borderId="18" xfId="52" applyNumberFormat="1" applyFont="1" applyFill="1" applyBorder="1" applyAlignment="1">
      <alignment horizontal="right" vertical="center" wrapText="1"/>
    </xf>
    <xf numFmtId="0" fontId="48" fillId="0" borderId="1" xfId="52" applyFont="1" applyFill="1" applyBorder="1" applyAlignment="1">
      <alignment vertical="center" wrapText="1"/>
    </xf>
    <xf numFmtId="0" fontId="48" fillId="0" borderId="72" xfId="52" applyFont="1" applyFill="1" applyBorder="1" applyAlignment="1">
      <alignment vertical="center" wrapText="1"/>
    </xf>
    <xf numFmtId="0" fontId="48" fillId="0" borderId="73" xfId="52" applyFont="1" applyFill="1" applyBorder="1" applyAlignment="1">
      <alignment vertical="center" wrapText="1"/>
    </xf>
    <xf numFmtId="3" fontId="49" fillId="0" borderId="0" xfId="52" applyNumberFormat="1" applyFont="1" applyAlignment="1">
      <alignment vertical="center"/>
    </xf>
    <xf numFmtId="0" fontId="48" fillId="25" borderId="55" xfId="52" applyFont="1" applyFill="1" applyBorder="1" applyAlignment="1">
      <alignment horizontal="left" vertical="center" wrapText="1"/>
    </xf>
    <xf numFmtId="49" fontId="49" fillId="25" borderId="16" xfId="52" applyNumberFormat="1" applyFont="1" applyFill="1" applyBorder="1" applyAlignment="1">
      <alignment horizontal="justify" vertical="center"/>
    </xf>
    <xf numFmtId="3" fontId="49" fillId="0" borderId="4" xfId="52" applyNumberFormat="1" applyFont="1" applyFill="1" applyBorder="1" applyAlignment="1">
      <alignment vertical="center"/>
    </xf>
    <xf numFmtId="0" fontId="13" fillId="0" borderId="0" xfId="0" applyFont="1" applyAlignment="1">
      <alignment horizontal="center"/>
    </xf>
    <xf numFmtId="0" fontId="49" fillId="0" borderId="0" xfId="51" applyFont="1"/>
    <xf numFmtId="0" fontId="54" fillId="0" borderId="0" xfId="51" applyFont="1"/>
    <xf numFmtId="0" fontId="48" fillId="0" borderId="0" xfId="51" applyFont="1" applyAlignment="1">
      <alignment horizontal="right"/>
    </xf>
    <xf numFmtId="0" fontId="16" fillId="0" borderId="18" xfId="51" applyFont="1" applyBorder="1" applyAlignment="1">
      <alignment horizontal="center" vertical="center" wrapText="1"/>
    </xf>
    <xf numFmtId="0" fontId="16" fillId="0" borderId="17" xfId="51" applyFont="1" applyBorder="1" applyAlignment="1">
      <alignment horizontal="center" vertical="center" wrapText="1"/>
    </xf>
    <xf numFmtId="0" fontId="16" fillId="0" borderId="16" xfId="51" applyFont="1" applyBorder="1" applyAlignment="1">
      <alignment horizontal="center" vertical="center" wrapText="1"/>
    </xf>
    <xf numFmtId="4" fontId="14" fillId="0" borderId="10" xfId="51" applyNumberFormat="1" applyFont="1" applyBorder="1" applyAlignment="1">
      <alignment horizontal="right" vertical="center"/>
    </xf>
    <xf numFmtId="4" fontId="14" fillId="0" borderId="13" xfId="51" applyNumberFormat="1" applyFont="1" applyBorder="1" applyAlignment="1">
      <alignment horizontal="right" vertical="center"/>
    </xf>
    <xf numFmtId="4" fontId="14" fillId="0" borderId="4" xfId="51" applyNumberFormat="1" applyFont="1" applyBorder="1" applyAlignment="1">
      <alignment horizontal="right" vertical="center"/>
    </xf>
    <xf numFmtId="4" fontId="14" fillId="0" borderId="2" xfId="51" applyNumberFormat="1" applyFont="1" applyBorder="1" applyAlignment="1">
      <alignment horizontal="right" vertical="center"/>
    </xf>
    <xf numFmtId="4" fontId="14" fillId="0" borderId="5" xfId="51" applyNumberFormat="1" applyFont="1" applyBorder="1" applyAlignment="1">
      <alignment horizontal="right" vertical="center"/>
    </xf>
    <xf numFmtId="4" fontId="16" fillId="0" borderId="4" xfId="51" applyNumberFormat="1" applyFont="1" applyBorder="1" applyAlignment="1">
      <alignment vertical="center"/>
    </xf>
    <xf numFmtId="4" fontId="16" fillId="0" borderId="5" xfId="51" applyNumberFormat="1" applyFont="1" applyBorder="1" applyAlignment="1">
      <alignment vertical="center"/>
    </xf>
    <xf numFmtId="10" fontId="16" fillId="25" borderId="18" xfId="51" applyNumberFormat="1" applyFont="1" applyFill="1" applyBorder="1" applyAlignment="1">
      <alignment vertical="center"/>
    </xf>
    <xf numFmtId="10" fontId="16" fillId="25" borderId="16" xfId="51" applyNumberFormat="1" applyFont="1" applyFill="1" applyBorder="1" applyAlignment="1">
      <alignment vertical="center"/>
    </xf>
    <xf numFmtId="0" fontId="46" fillId="0" borderId="0" xfId="51" applyFont="1" applyAlignment="1">
      <alignment horizontal="right"/>
    </xf>
    <xf numFmtId="0" fontId="46" fillId="0" borderId="0" xfId="51" applyFont="1"/>
    <xf numFmtId="0" fontId="18" fillId="0" borderId="0" xfId="51" applyFont="1"/>
    <xf numFmtId="4" fontId="14" fillId="0" borderId="24" xfId="51" applyNumberFormat="1" applyFont="1" applyBorder="1" applyAlignment="1">
      <alignment horizontal="right" vertical="center"/>
    </xf>
    <xf numFmtId="4" fontId="14" fillId="0" borderId="36" xfId="51" applyNumberFormat="1" applyFont="1" applyBorder="1" applyAlignment="1">
      <alignment horizontal="right" vertical="center"/>
    </xf>
    <xf numFmtId="4" fontId="14" fillId="0" borderId="25" xfId="51" applyNumberFormat="1" applyFont="1" applyBorder="1" applyAlignment="1">
      <alignment horizontal="right" vertical="center"/>
    </xf>
    <xf numFmtId="4" fontId="16" fillId="0" borderId="57" xfId="51" applyNumberFormat="1" applyFont="1" applyBorder="1" applyAlignment="1">
      <alignment horizontal="right" vertical="center"/>
    </xf>
    <xf numFmtId="4" fontId="16" fillId="0" borderId="43" xfId="51" applyNumberFormat="1" applyFont="1" applyBorder="1" applyAlignment="1">
      <alignment horizontal="right" vertical="center"/>
    </xf>
    <xf numFmtId="1" fontId="14" fillId="0" borderId="15" xfId="51" applyNumberFormat="1" applyFont="1" applyBorder="1" applyAlignment="1">
      <alignment vertical="center"/>
    </xf>
    <xf numFmtId="1" fontId="14" fillId="0" borderId="53" xfId="51" applyNumberFormat="1" applyFont="1" applyBorder="1" applyAlignment="1">
      <alignment vertical="center"/>
    </xf>
    <xf numFmtId="1" fontId="14" fillId="0" borderId="17" xfId="51" applyNumberFormat="1" applyFont="1" applyBorder="1" applyAlignment="1">
      <alignment vertical="center"/>
    </xf>
    <xf numFmtId="1" fontId="14" fillId="0" borderId="16" xfId="51" applyNumberFormat="1" applyFont="1" applyBorder="1" applyAlignment="1">
      <alignment vertical="center"/>
    </xf>
    <xf numFmtId="4" fontId="16" fillId="0" borderId="77" xfId="51" applyNumberFormat="1" applyFont="1" applyBorder="1" applyAlignment="1">
      <alignment horizontal="right" vertical="center"/>
    </xf>
    <xf numFmtId="4" fontId="16" fillId="0" borderId="79" xfId="51" applyNumberFormat="1" applyFont="1" applyBorder="1" applyAlignment="1">
      <alignment horizontal="right" vertical="center"/>
    </xf>
    <xf numFmtId="1" fontId="14" fillId="0" borderId="80" xfId="51" applyNumberFormat="1" applyFont="1" applyBorder="1" applyAlignment="1">
      <alignment vertical="center"/>
    </xf>
    <xf numFmtId="1" fontId="14" fillId="0" borderId="81" xfId="51" applyNumberFormat="1" applyFont="1" applyBorder="1" applyAlignment="1">
      <alignment vertical="center"/>
    </xf>
    <xf numFmtId="1" fontId="14" fillId="0" borderId="82" xfId="51" applyNumberFormat="1" applyFont="1" applyBorder="1" applyAlignment="1">
      <alignment vertical="center"/>
    </xf>
    <xf numFmtId="1" fontId="14" fillId="0" borderId="83" xfId="51" applyNumberFormat="1" applyFont="1" applyBorder="1" applyAlignment="1">
      <alignment vertical="center"/>
    </xf>
    <xf numFmtId="10" fontId="16" fillId="25" borderId="25" xfId="51" applyNumberFormat="1" applyFont="1" applyFill="1" applyBorder="1" applyAlignment="1">
      <alignment horizontal="right" vertical="center"/>
    </xf>
    <xf numFmtId="10" fontId="16" fillId="25" borderId="36" xfId="51" applyNumberFormat="1" applyFont="1" applyFill="1" applyBorder="1" applyAlignment="1">
      <alignment horizontal="right" vertical="center"/>
    </xf>
    <xf numFmtId="10" fontId="16" fillId="0" borderId="2" xfId="51" applyNumberFormat="1" applyFont="1" applyBorder="1" applyAlignment="1">
      <alignment horizontal="right" vertical="center"/>
    </xf>
    <xf numFmtId="10" fontId="16" fillId="0" borderId="5" xfId="51" applyNumberFormat="1" applyFont="1" applyBorder="1" applyAlignment="1">
      <alignment horizontal="right" vertical="center"/>
    </xf>
    <xf numFmtId="10" fontId="16" fillId="0" borderId="57" xfId="51" applyNumberFormat="1" applyFont="1" applyBorder="1" applyAlignment="1">
      <alignment horizontal="right" vertical="center"/>
    </xf>
    <xf numFmtId="10" fontId="16" fillId="0" borderId="43" xfId="51" applyNumberFormat="1" applyFont="1" applyBorder="1" applyAlignment="1">
      <alignment horizontal="right" vertical="center"/>
    </xf>
    <xf numFmtId="0" fontId="49" fillId="0" borderId="0" xfId="51" applyFont="1" applyAlignment="1">
      <alignment horizontal="left"/>
    </xf>
    <xf numFmtId="0" fontId="46" fillId="0" borderId="0" xfId="51" applyFont="1" applyAlignment="1">
      <alignment horizontal="left"/>
    </xf>
    <xf numFmtId="0" fontId="13" fillId="0" borderId="0" xfId="34" applyFont="1"/>
    <xf numFmtId="0" fontId="12" fillId="0" borderId="0" xfId="34" applyFont="1"/>
    <xf numFmtId="0" fontId="12" fillId="0" borderId="0" xfId="34" applyFont="1" applyAlignment="1">
      <alignment horizontal="right"/>
    </xf>
    <xf numFmtId="0" fontId="46" fillId="0" borderId="0" xfId="34" applyFont="1"/>
    <xf numFmtId="0" fontId="39" fillId="0" borderId="0" xfId="34" applyFont="1" applyFill="1"/>
    <xf numFmtId="0" fontId="12" fillId="0" borderId="0" xfId="34" applyFont="1" applyFill="1" applyAlignment="1"/>
    <xf numFmtId="0" fontId="39" fillId="0" borderId="0" xfId="34" applyFont="1" applyAlignment="1"/>
    <xf numFmtId="0" fontId="39" fillId="0" borderId="0" xfId="34" applyFont="1"/>
    <xf numFmtId="0" fontId="49" fillId="0" borderId="39" xfId="52" applyFont="1" applyBorder="1" applyAlignment="1">
      <alignment vertical="center" wrapText="1"/>
    </xf>
    <xf numFmtId="0" fontId="48" fillId="0" borderId="56" xfId="52" applyFont="1" applyFill="1" applyBorder="1" applyAlignment="1">
      <alignment vertical="center" wrapText="1"/>
    </xf>
    <xf numFmtId="0" fontId="48" fillId="0" borderId="40" xfId="52" applyFont="1" applyFill="1" applyBorder="1" applyAlignment="1">
      <alignment vertical="center" wrapText="1"/>
    </xf>
    <xf numFmtId="0" fontId="48" fillId="0" borderId="41" xfId="52" applyFont="1" applyFill="1" applyBorder="1" applyAlignment="1">
      <alignment vertical="center" wrapText="1"/>
    </xf>
    <xf numFmtId="0" fontId="14" fillId="0" borderId="0" xfId="0" applyFont="1"/>
    <xf numFmtId="0" fontId="14" fillId="27" borderId="4" xfId="37" applyFont="1" applyFill="1" applyBorder="1" applyAlignment="1">
      <alignment horizontal="center" vertical="center" wrapText="1"/>
    </xf>
    <xf numFmtId="0" fontId="14" fillId="27" borderId="2" xfId="37" applyFont="1" applyFill="1" applyBorder="1" applyAlignment="1">
      <alignment horizontal="center" vertical="center" wrapText="1"/>
    </xf>
    <xf numFmtId="0" fontId="14" fillId="27" borderId="49" xfId="37" applyFont="1" applyFill="1" applyBorder="1" applyAlignment="1">
      <alignment horizontal="center" vertical="center" wrapText="1"/>
    </xf>
    <xf numFmtId="0" fontId="14" fillId="27" borderId="5" xfId="37" applyFont="1" applyFill="1" applyBorder="1" applyAlignment="1">
      <alignment horizontal="center" vertical="center" wrapText="1"/>
    </xf>
    <xf numFmtId="0" fontId="48" fillId="25" borderId="65" xfId="52" applyFont="1" applyFill="1" applyBorder="1" applyAlignment="1">
      <alignment horizontal="justify" vertical="center"/>
    </xf>
    <xf numFmtId="3" fontId="49" fillId="0" borderId="8" xfId="52" applyNumberFormat="1" applyFont="1" applyFill="1" applyBorder="1" applyAlignment="1">
      <alignment horizontal="right" vertical="center"/>
    </xf>
    <xf numFmtId="0" fontId="12" fillId="0" borderId="0" xfId="0" applyFont="1" applyAlignment="1"/>
    <xf numFmtId="3" fontId="11" fillId="0" borderId="0" xfId="51" applyNumberFormat="1" applyAlignment="1">
      <alignment vertical="center"/>
    </xf>
    <xf numFmtId="3" fontId="45" fillId="25" borderId="5" xfId="34" applyNumberFormat="1" applyFont="1" applyFill="1" applyBorder="1" applyAlignment="1">
      <alignment horizontal="right" vertical="center" wrapText="1"/>
    </xf>
    <xf numFmtId="49" fontId="48" fillId="0" borderId="0" xfId="52" applyNumberFormat="1" applyFont="1" applyAlignment="1">
      <alignment vertical="center"/>
    </xf>
    <xf numFmtId="49" fontId="49" fillId="0" borderId="49" xfId="52" applyNumberFormat="1" applyFont="1" applyFill="1" applyBorder="1" applyAlignment="1">
      <alignment horizontal="left" vertical="center" wrapText="1"/>
    </xf>
    <xf numFmtId="0" fontId="58" fillId="0" borderId="0" xfId="34" applyFont="1" applyFill="1" applyAlignment="1"/>
    <xf numFmtId="0" fontId="61" fillId="0" borderId="0" xfId="51" applyFont="1" applyAlignment="1">
      <alignment vertical="center"/>
    </xf>
    <xf numFmtId="0" fontId="48" fillId="25" borderId="86" xfId="52" applyFont="1" applyFill="1" applyBorder="1" applyAlignment="1">
      <alignment horizontal="center" vertical="center" wrapText="1"/>
    </xf>
    <xf numFmtId="0" fontId="48" fillId="25" borderId="87" xfId="52" applyFont="1" applyFill="1" applyBorder="1" applyAlignment="1">
      <alignment horizontal="center" vertical="center" wrapText="1"/>
    </xf>
    <xf numFmtId="0" fontId="49" fillId="0" borderId="51" xfId="52" applyFont="1" applyFill="1" applyBorder="1" applyAlignment="1">
      <alignment horizontal="left" vertical="center" wrapText="1"/>
    </xf>
    <xf numFmtId="4" fontId="49" fillId="0" borderId="46" xfId="52" applyNumberFormat="1" applyFont="1" applyFill="1" applyBorder="1" applyAlignment="1">
      <alignment horizontal="justify" vertical="center" wrapText="1"/>
    </xf>
    <xf numFmtId="0" fontId="48" fillId="25" borderId="54" xfId="52" applyFont="1" applyFill="1" applyBorder="1" applyAlignment="1">
      <alignment vertical="center" wrapText="1"/>
    </xf>
    <xf numFmtId="4" fontId="49" fillId="0" borderId="45" xfId="52" applyNumberFormat="1" applyFont="1" applyFill="1" applyBorder="1" applyAlignment="1">
      <alignment horizontal="justify" vertical="center" wrapText="1"/>
    </xf>
    <xf numFmtId="0" fontId="62" fillId="0" borderId="0" xfId="52" applyFont="1" applyAlignment="1">
      <alignment vertical="center"/>
    </xf>
    <xf numFmtId="0" fontId="63" fillId="0" borderId="0" xfId="52" applyFont="1" applyAlignment="1">
      <alignment vertical="center"/>
    </xf>
    <xf numFmtId="0" fontId="48" fillId="25" borderId="53" xfId="52" applyFont="1" applyFill="1" applyBorder="1" applyAlignment="1">
      <alignment vertical="center" wrapText="1"/>
    </xf>
    <xf numFmtId="0" fontId="63" fillId="0" borderId="15" xfId="52" applyFont="1" applyFill="1" applyBorder="1" applyAlignment="1">
      <alignment vertical="center" wrapText="1"/>
    </xf>
    <xf numFmtId="0" fontId="63" fillId="0" borderId="53" xfId="52" applyFont="1" applyFill="1" applyBorder="1" applyAlignment="1">
      <alignment vertical="center" wrapText="1"/>
    </xf>
    <xf numFmtId="3" fontId="63" fillId="0" borderId="53" xfId="52" applyNumberFormat="1" applyFont="1" applyBorder="1" applyAlignment="1">
      <alignment vertical="center" wrapText="1"/>
    </xf>
    <xf numFmtId="0" fontId="63" fillId="0" borderId="53" xfId="52" applyFont="1" applyBorder="1" applyAlignment="1">
      <alignment vertical="center" wrapText="1"/>
    </xf>
    <xf numFmtId="49" fontId="63" fillId="0" borderId="65" xfId="52" applyNumberFormat="1" applyFont="1" applyFill="1" applyBorder="1" applyAlignment="1">
      <alignment horizontal="justify" vertical="center"/>
    </xf>
    <xf numFmtId="0" fontId="48" fillId="25" borderId="54" xfId="52" applyFont="1" applyFill="1" applyBorder="1" applyAlignment="1">
      <alignment horizontal="left" vertical="center" wrapText="1"/>
    </xf>
    <xf numFmtId="0" fontId="64" fillId="0" borderId="0" xfId="52" applyFont="1" applyFill="1" applyAlignment="1">
      <alignment vertical="center"/>
    </xf>
    <xf numFmtId="0" fontId="64" fillId="0" borderId="0" xfId="52" applyFont="1" applyAlignment="1">
      <alignment vertical="center"/>
    </xf>
    <xf numFmtId="0" fontId="65" fillId="0" borderId="0" xfId="57" applyFont="1"/>
    <xf numFmtId="4" fontId="48" fillId="0" borderId="0" xfId="52" applyNumberFormat="1" applyFont="1" applyAlignment="1">
      <alignment vertical="center"/>
    </xf>
    <xf numFmtId="3" fontId="49" fillId="0" borderId="8" xfId="52" applyNumberFormat="1" applyFont="1" applyBorder="1" applyAlignment="1">
      <alignment vertical="center"/>
    </xf>
    <xf numFmtId="3" fontId="48" fillId="25" borderId="18" xfId="52" applyNumberFormat="1" applyFont="1" applyFill="1" applyBorder="1" applyAlignment="1">
      <alignment horizontal="center" vertical="center" wrapText="1"/>
    </xf>
    <xf numFmtId="49" fontId="49" fillId="0" borderId="4" xfId="52" applyNumberFormat="1" applyFont="1" applyFill="1" applyBorder="1" applyAlignment="1">
      <alignment horizontal="center" vertical="center" wrapText="1"/>
    </xf>
    <xf numFmtId="3" fontId="49" fillId="0" borderId="4" xfId="52" applyNumberFormat="1" applyFont="1" applyFill="1" applyBorder="1" applyAlignment="1">
      <alignment horizontal="center" vertical="center"/>
    </xf>
    <xf numFmtId="3" fontId="49" fillId="0" borderId="4" xfId="52" applyNumberFormat="1" applyFont="1" applyBorder="1" applyAlignment="1">
      <alignment vertical="center"/>
    </xf>
    <xf numFmtId="3" fontId="49" fillId="0" borderId="5" xfId="52" applyNumberFormat="1" applyFont="1" applyBorder="1" applyAlignment="1">
      <alignment vertical="center"/>
    </xf>
    <xf numFmtId="0" fontId="48" fillId="25" borderId="18" xfId="52" applyFont="1" applyFill="1" applyBorder="1" applyAlignment="1">
      <alignment vertical="center" wrapText="1"/>
    </xf>
    <xf numFmtId="3" fontId="49" fillId="0" borderId="4" xfId="52" applyNumberFormat="1" applyFont="1" applyFill="1" applyBorder="1" applyAlignment="1" applyProtection="1">
      <alignment horizontal="right" vertical="center" wrapText="1"/>
      <protection locked="0"/>
    </xf>
    <xf numFmtId="0" fontId="48" fillId="26" borderId="37" xfId="52" applyFont="1" applyFill="1" applyBorder="1" applyAlignment="1">
      <alignment vertical="center" wrapText="1"/>
    </xf>
    <xf numFmtId="0" fontId="49" fillId="26" borderId="71" xfId="52" applyFont="1" applyFill="1" applyBorder="1" applyAlignment="1">
      <alignment horizontal="justify" vertical="center"/>
    </xf>
    <xf numFmtId="9" fontId="49" fillId="0" borderId="8" xfId="52" applyNumberFormat="1" applyFont="1" applyFill="1" applyBorder="1" applyAlignment="1">
      <alignment horizontal="center" vertical="center"/>
    </xf>
    <xf numFmtId="0" fontId="66" fillId="0" borderId="0" xfId="52" applyFont="1" applyAlignment="1">
      <alignment vertical="center"/>
    </xf>
    <xf numFmtId="10" fontId="66" fillId="0" borderId="0" xfId="52" applyNumberFormat="1" applyFont="1" applyAlignment="1">
      <alignment vertical="center"/>
    </xf>
    <xf numFmtId="0" fontId="67" fillId="0" borderId="0" xfId="52" applyFont="1" applyAlignment="1">
      <alignment vertical="center"/>
    </xf>
    <xf numFmtId="0" fontId="67" fillId="0" borderId="15" xfId="52" applyFont="1" applyFill="1" applyBorder="1" applyAlignment="1">
      <alignment vertical="center" wrapText="1"/>
    </xf>
    <xf numFmtId="0" fontId="67" fillId="0" borderId="53" xfId="52" applyFont="1" applyFill="1" applyBorder="1" applyAlignment="1">
      <alignment vertical="center" wrapText="1"/>
    </xf>
    <xf numFmtId="3" fontId="67" fillId="0" borderId="53" xfId="52" applyNumberFormat="1" applyFont="1" applyBorder="1" applyAlignment="1">
      <alignment vertical="center" wrapText="1"/>
    </xf>
    <xf numFmtId="10" fontId="67" fillId="0" borderId="53" xfId="52" applyNumberFormat="1" applyFont="1" applyBorder="1" applyAlignment="1">
      <alignment horizontal="center" vertical="center" wrapText="1"/>
    </xf>
    <xf numFmtId="3" fontId="67" fillId="0" borderId="53" xfId="52" applyNumberFormat="1" applyFont="1" applyBorder="1" applyAlignment="1">
      <alignment horizontal="center" vertical="center" wrapText="1"/>
    </xf>
    <xf numFmtId="0" fontId="67" fillId="0" borderId="0" xfId="52" applyFont="1" applyBorder="1" applyAlignment="1">
      <alignment vertical="center"/>
    </xf>
    <xf numFmtId="0" fontId="67" fillId="0" borderId="71" xfId="52" applyFont="1" applyBorder="1" applyAlignment="1">
      <alignment vertical="center"/>
    </xf>
    <xf numFmtId="3" fontId="66" fillId="0" borderId="0" xfId="52" applyNumberFormat="1" applyFont="1" applyAlignment="1">
      <alignment vertical="center"/>
    </xf>
    <xf numFmtId="0" fontId="66" fillId="0" borderId="0" xfId="52" applyFont="1" applyFill="1" applyAlignment="1">
      <alignment vertical="center"/>
    </xf>
    <xf numFmtId="10" fontId="66" fillId="0" borderId="0" xfId="52" applyNumberFormat="1" applyFont="1" applyFill="1" applyAlignment="1">
      <alignment vertical="center"/>
    </xf>
    <xf numFmtId="4" fontId="67" fillId="0" borderId="0" xfId="52" applyNumberFormat="1" applyFont="1" applyFill="1" applyAlignment="1">
      <alignment vertical="center"/>
    </xf>
    <xf numFmtId="4" fontId="66" fillId="0" borderId="0" xfId="52" applyNumberFormat="1" applyFont="1" applyAlignment="1">
      <alignment vertical="center"/>
    </xf>
    <xf numFmtId="0" fontId="68" fillId="0" borderId="0" xfId="57" applyFont="1"/>
    <xf numFmtId="0" fontId="49" fillId="0" borderId="49" xfId="68" applyFont="1" applyBorder="1" applyAlignment="1">
      <alignment vertical="center" wrapText="1"/>
    </xf>
    <xf numFmtId="49" fontId="49" fillId="0" borderId="4" xfId="52" applyNumberFormat="1" applyFont="1" applyBorder="1" applyAlignment="1">
      <alignment horizontal="center" vertical="center" wrapText="1"/>
    </xf>
    <xf numFmtId="3" fontId="49" fillId="0" borderId="4" xfId="52" applyNumberFormat="1" applyFont="1" applyBorder="1" applyAlignment="1">
      <alignment horizontal="right" vertical="center"/>
    </xf>
    <xf numFmtId="3" fontId="49" fillId="0" borderId="4" xfId="52" applyNumberFormat="1" applyFont="1" applyBorder="1" applyAlignment="1">
      <alignment horizontal="center" vertical="center" wrapText="1"/>
    </xf>
    <xf numFmtId="3" fontId="49" fillId="0" borderId="4" xfId="52" applyNumberFormat="1" applyFont="1" applyBorder="1" applyAlignment="1">
      <alignment horizontal="center" vertical="center"/>
    </xf>
    <xf numFmtId="0" fontId="49" fillId="0" borderId="45" xfId="52" applyFont="1" applyBorder="1" applyAlignment="1">
      <alignment horizontal="justify" vertical="center" wrapText="1"/>
    </xf>
    <xf numFmtId="0" fontId="53" fillId="0" borderId="0" xfId="52" applyFont="1" applyAlignment="1">
      <alignment vertical="center"/>
    </xf>
    <xf numFmtId="0" fontId="49" fillId="0" borderId="0" xfId="52" applyFont="1" applyAlignment="1">
      <alignment horizontal="center" vertical="center" wrapText="1"/>
    </xf>
    <xf numFmtId="0" fontId="49" fillId="0" borderId="61" xfId="68" applyFont="1" applyBorder="1" applyAlignment="1">
      <alignment vertical="center" wrapText="1"/>
    </xf>
    <xf numFmtId="49" fontId="49" fillId="0" borderId="8" xfId="52" applyNumberFormat="1" applyFont="1" applyBorder="1" applyAlignment="1">
      <alignment horizontal="center" vertical="center" wrapText="1"/>
    </xf>
    <xf numFmtId="3" fontId="49" fillId="0" borderId="8" xfId="52" applyNumberFormat="1" applyFont="1" applyBorder="1" applyAlignment="1">
      <alignment horizontal="right" vertical="center"/>
    </xf>
    <xf numFmtId="3" fontId="49" fillId="0" borderId="8" xfId="52" applyNumberFormat="1" applyFont="1" applyBorder="1" applyAlignment="1">
      <alignment horizontal="center" vertical="center"/>
    </xf>
    <xf numFmtId="0" fontId="49" fillId="0" borderId="46" xfId="52" applyFont="1" applyBorder="1" applyAlignment="1">
      <alignment horizontal="justify" vertical="center" wrapText="1"/>
    </xf>
    <xf numFmtId="3" fontId="48" fillId="25" borderId="17" xfId="52" applyNumberFormat="1" applyFont="1" applyFill="1" applyBorder="1" applyAlignment="1">
      <alignment horizontal="center" vertical="center" wrapText="1"/>
    </xf>
    <xf numFmtId="0" fontId="49" fillId="0" borderId="4" xfId="52" applyFont="1" applyBorder="1" applyAlignment="1">
      <alignment horizontal="center" vertical="center" wrapText="1"/>
    </xf>
    <xf numFmtId="3" fontId="49" fillId="0" borderId="4" xfId="52" applyNumberFormat="1" applyFont="1" applyBorder="1" applyAlignment="1">
      <alignment horizontal="right" vertical="center" wrapText="1"/>
    </xf>
    <xf numFmtId="0" fontId="49" fillId="0" borderId="49" xfId="52" applyFont="1" applyBorder="1" applyAlignment="1">
      <alignment horizontal="left" vertical="center" wrapText="1"/>
    </xf>
    <xf numFmtId="3" fontId="49" fillId="0" borderId="4" xfId="68" applyNumberFormat="1" applyFont="1" applyBorder="1" applyAlignment="1">
      <alignment vertical="center"/>
    </xf>
    <xf numFmtId="0" fontId="49" fillId="0" borderId="45" xfId="68" applyFont="1" applyBorder="1" applyAlignment="1">
      <alignment horizontal="justify" vertical="center" wrapText="1"/>
    </xf>
    <xf numFmtId="0" fontId="49" fillId="0" borderId="5" xfId="68" applyFont="1" applyBorder="1" applyAlignment="1">
      <alignment horizontal="justify" vertical="center" wrapText="1"/>
    </xf>
    <xf numFmtId="3" fontId="49" fillId="0" borderId="2" xfId="52" applyNumberFormat="1" applyFont="1" applyBorder="1" applyAlignment="1">
      <alignment horizontal="center" vertical="center" wrapText="1"/>
    </xf>
    <xf numFmtId="0" fontId="49" fillId="0" borderId="4" xfId="52" applyFont="1" applyBorder="1" applyAlignment="1" applyProtection="1">
      <alignment horizontal="center" vertical="center" wrapText="1"/>
      <protection locked="0"/>
    </xf>
    <xf numFmtId="3" fontId="49" fillId="0" borderId="4" xfId="52" applyNumberFormat="1" applyFont="1" applyBorder="1" applyAlignment="1" applyProtection="1">
      <alignment horizontal="right" vertical="center" wrapText="1"/>
      <protection locked="0"/>
    </xf>
    <xf numFmtId="0" fontId="49" fillId="0" borderId="5" xfId="52" applyFont="1" applyBorder="1" applyAlignment="1" applyProtection="1">
      <alignment horizontal="justify" vertical="center" wrapText="1"/>
      <protection locked="0"/>
    </xf>
    <xf numFmtId="3" fontId="49" fillId="0" borderId="7" xfId="52" applyNumberFormat="1" applyFont="1" applyBorder="1" applyAlignment="1">
      <alignment horizontal="center" vertical="center" wrapText="1"/>
    </xf>
    <xf numFmtId="3" fontId="49" fillId="0" borderId="8" xfId="52" applyNumberFormat="1" applyFont="1" applyBorder="1" applyAlignment="1">
      <alignment horizontal="center" vertical="center" wrapText="1"/>
    </xf>
    <xf numFmtId="3" fontId="49" fillId="0" borderId="2" xfId="68" applyNumberFormat="1" applyFont="1" applyBorder="1" applyAlignment="1">
      <alignment vertical="center"/>
    </xf>
    <xf numFmtId="3" fontId="49" fillId="0" borderId="9" xfId="68" applyNumberFormat="1" applyFont="1" applyBorder="1" applyAlignment="1">
      <alignment vertical="center"/>
    </xf>
    <xf numFmtId="3" fontId="49" fillId="0" borderId="4" xfId="68" applyNumberFormat="1" applyFont="1" applyBorder="1" applyAlignment="1">
      <alignment horizontal="center" vertical="center" wrapText="1"/>
    </xf>
    <xf numFmtId="3" fontId="49" fillId="0" borderId="4" xfId="68" applyNumberFormat="1" applyFont="1" applyBorder="1" applyAlignment="1">
      <alignment horizontal="center" vertical="center"/>
    </xf>
    <xf numFmtId="3" fontId="49" fillId="0" borderId="9" xfId="0" applyNumberFormat="1" applyFont="1" applyBorder="1" applyAlignment="1">
      <alignment vertical="center"/>
    </xf>
    <xf numFmtId="3" fontId="49" fillId="0" borderId="9" xfId="68" applyNumberFormat="1" applyFont="1" applyBorder="1" applyAlignment="1">
      <alignment horizontal="center" vertical="center"/>
    </xf>
    <xf numFmtId="0" fontId="48" fillId="27" borderId="49" xfId="68" applyFont="1" applyFill="1" applyBorder="1" applyAlignment="1">
      <alignment vertical="center" wrapText="1"/>
    </xf>
    <xf numFmtId="0" fontId="48" fillId="27" borderId="4" xfId="52" applyFont="1" applyFill="1" applyBorder="1" applyAlignment="1">
      <alignment horizontal="center" vertical="center" wrapText="1"/>
    </xf>
    <xf numFmtId="3" fontId="48" fillId="27" borderId="4" xfId="52" applyNumberFormat="1" applyFont="1" applyFill="1" applyBorder="1" applyAlignment="1">
      <alignment vertical="center" wrapText="1"/>
    </xf>
    <xf numFmtId="3" fontId="48" fillId="27" borderId="4" xfId="68" applyNumberFormat="1" applyFont="1" applyFill="1" applyBorder="1" applyAlignment="1">
      <alignment horizontal="center" vertical="center" wrapText="1"/>
    </xf>
    <xf numFmtId="3" fontId="48" fillId="27" borderId="4" xfId="68" applyNumberFormat="1" applyFont="1" applyFill="1" applyBorder="1" applyAlignment="1">
      <alignment horizontal="center" vertical="center"/>
    </xf>
    <xf numFmtId="0" fontId="48" fillId="27" borderId="73" xfId="68" applyFont="1" applyFill="1" applyBorder="1" applyAlignment="1">
      <alignment horizontal="justify" vertical="center" wrapText="1"/>
    </xf>
    <xf numFmtId="3" fontId="49" fillId="0" borderId="10" xfId="68" applyNumberFormat="1" applyFont="1" applyBorder="1" applyAlignment="1">
      <alignment vertical="center"/>
    </xf>
    <xf numFmtId="4" fontId="49" fillId="0" borderId="45" xfId="54" applyNumberFormat="1" applyFont="1" applyBorder="1" applyAlignment="1">
      <alignment horizontal="justify" vertical="center" wrapText="1"/>
    </xf>
    <xf numFmtId="3" fontId="49" fillId="0" borderId="4" xfId="0" applyNumberFormat="1" applyFont="1" applyBorder="1" applyAlignment="1">
      <alignment vertical="center"/>
    </xf>
    <xf numFmtId="0" fontId="49" fillId="0" borderId="73" xfId="52" applyFont="1" applyBorder="1" applyAlignment="1">
      <alignment horizontal="justify" vertical="center" wrapText="1"/>
    </xf>
    <xf numFmtId="0" fontId="49" fillId="0" borderId="8" xfId="52" applyFont="1" applyBorder="1" applyAlignment="1">
      <alignment horizontal="center" vertical="center" wrapText="1"/>
    </xf>
    <xf numFmtId="3" fontId="49" fillId="0" borderId="8" xfId="68" applyNumberFormat="1" applyFont="1" applyBorder="1" applyAlignment="1">
      <alignment horizontal="center" vertical="center" wrapText="1"/>
    </xf>
    <xf numFmtId="3" fontId="49" fillId="0" borderId="12" xfId="68" applyNumberFormat="1" applyFont="1" applyBorder="1" applyAlignment="1">
      <alignment horizontal="center" vertical="center" wrapText="1"/>
    </xf>
    <xf numFmtId="3" fontId="49" fillId="0" borderId="66" xfId="68" applyNumberFormat="1" applyFont="1" applyBorder="1" applyAlignment="1">
      <alignment horizontal="center" vertical="center" wrapText="1"/>
    </xf>
    <xf numFmtId="0" fontId="49" fillId="0" borderId="73" xfId="68" applyFont="1" applyBorder="1" applyAlignment="1">
      <alignment horizontal="justify" vertical="center" wrapText="1"/>
    </xf>
    <xf numFmtId="3" fontId="49" fillId="0" borderId="8" xfId="68" applyNumberFormat="1" applyFont="1" applyBorder="1" applyAlignment="1">
      <alignment vertical="center"/>
    </xf>
    <xf numFmtId="0" fontId="49" fillId="0" borderId="38" xfId="52" applyFont="1" applyBorder="1" applyAlignment="1">
      <alignment horizontal="justify" vertical="center" wrapText="1"/>
    </xf>
    <xf numFmtId="0" fontId="48" fillId="27" borderId="5" xfId="68" applyFont="1" applyFill="1" applyBorder="1" applyAlignment="1">
      <alignment horizontal="justify" vertical="center" wrapText="1"/>
    </xf>
    <xf numFmtId="0" fontId="48" fillId="25" borderId="20" xfId="52" applyFont="1" applyFill="1" applyBorder="1" applyAlignment="1">
      <alignment vertical="center" wrapText="1"/>
    </xf>
    <xf numFmtId="0" fontId="48" fillId="25" borderId="87" xfId="52" applyFont="1" applyFill="1" applyBorder="1" applyAlignment="1">
      <alignment vertical="center" wrapText="1"/>
    </xf>
    <xf numFmtId="3" fontId="48" fillId="25" borderId="22" xfId="52" applyNumberFormat="1" applyFont="1" applyFill="1" applyBorder="1" applyAlignment="1">
      <alignment horizontal="right" vertical="center" wrapText="1"/>
    </xf>
    <xf numFmtId="3" fontId="48" fillId="25" borderId="23" xfId="52" applyNumberFormat="1" applyFont="1" applyFill="1" applyBorder="1" applyAlignment="1">
      <alignment horizontal="center" vertical="center" wrapText="1"/>
    </xf>
    <xf numFmtId="0" fontId="49" fillId="25" borderId="21" xfId="52" applyFont="1" applyFill="1" applyBorder="1" applyAlignment="1">
      <alignment horizontal="justify" vertical="center"/>
    </xf>
    <xf numFmtId="0" fontId="49" fillId="0" borderId="5" xfId="52" applyFont="1" applyBorder="1" applyAlignment="1">
      <alignment horizontal="justify" vertical="center" wrapText="1"/>
    </xf>
    <xf numFmtId="3" fontId="49" fillId="26" borderId="42" xfId="68" applyNumberFormat="1" applyFont="1" applyFill="1" applyBorder="1" applyAlignment="1">
      <alignment horizontal="center" vertical="center" wrapText="1"/>
    </xf>
    <xf numFmtId="0" fontId="49" fillId="0" borderId="8" xfId="52" applyFont="1" applyBorder="1" applyAlignment="1">
      <alignment horizontal="center" vertical="center"/>
    </xf>
    <xf numFmtId="0" fontId="49" fillId="26" borderId="38" xfId="68" applyFont="1" applyFill="1" applyBorder="1" applyAlignment="1">
      <alignment horizontal="justify" vertical="center" wrapText="1"/>
    </xf>
    <xf numFmtId="0" fontId="48" fillId="25" borderId="33" xfId="52" applyFont="1" applyFill="1" applyBorder="1" applyAlignment="1">
      <alignment vertical="center" wrapText="1"/>
    </xf>
    <xf numFmtId="0" fontId="48" fillId="25" borderId="86" xfId="52" applyFont="1" applyFill="1" applyBorder="1" applyAlignment="1">
      <alignment vertical="center" wrapText="1"/>
    </xf>
    <xf numFmtId="3" fontId="48" fillId="25" borderId="32" xfId="52" applyNumberFormat="1" applyFont="1" applyFill="1" applyBorder="1" applyAlignment="1">
      <alignment horizontal="right" vertical="center" wrapText="1"/>
    </xf>
    <xf numFmtId="3" fontId="48" fillId="25" borderId="31" xfId="52" applyNumberFormat="1" applyFont="1" applyFill="1" applyBorder="1" applyAlignment="1">
      <alignment horizontal="center" vertical="center" wrapText="1"/>
    </xf>
    <xf numFmtId="0" fontId="49" fillId="25" borderId="34" xfId="52" applyFont="1" applyFill="1" applyBorder="1" applyAlignment="1">
      <alignment horizontal="justify" vertical="center"/>
    </xf>
    <xf numFmtId="0" fontId="49" fillId="0" borderId="61" xfId="52" applyFont="1" applyBorder="1" applyAlignment="1">
      <alignment vertical="center" wrapText="1"/>
    </xf>
    <xf numFmtId="3" fontId="49" fillId="0" borderId="8" xfId="52" applyNumberFormat="1" applyFont="1" applyBorder="1" applyAlignment="1">
      <alignment horizontal="right" vertical="center" wrapText="1"/>
    </xf>
    <xf numFmtId="0" fontId="49" fillId="0" borderId="38" xfId="52" applyFont="1" applyBorder="1" applyAlignment="1">
      <alignment horizontal="justify" vertical="center"/>
    </xf>
    <xf numFmtId="0" fontId="49" fillId="0" borderId="4" xfId="52" applyFont="1" applyBorder="1" applyAlignment="1">
      <alignment horizontal="center" vertical="center"/>
    </xf>
    <xf numFmtId="0" fontId="49" fillId="0" borderId="6" xfId="68" applyFont="1" applyBorder="1" applyAlignment="1">
      <alignment vertical="center" wrapText="1"/>
    </xf>
    <xf numFmtId="0" fontId="49" fillId="0" borderId="3" xfId="52" applyFont="1" applyBorder="1" applyAlignment="1">
      <alignment horizontal="justify" vertical="center" wrapText="1"/>
    </xf>
    <xf numFmtId="3" fontId="49" fillId="0" borderId="10" xfId="52" applyNumberFormat="1" applyFont="1" applyBorder="1" applyAlignment="1">
      <alignment horizontal="center" vertical="center" wrapText="1"/>
    </xf>
    <xf numFmtId="0" fontId="48" fillId="0" borderId="56" xfId="52" applyFont="1" applyBorder="1" applyAlignment="1">
      <alignment vertical="center"/>
    </xf>
    <xf numFmtId="0" fontId="48" fillId="0" borderId="41" xfId="52" applyFont="1" applyBorder="1" applyAlignment="1">
      <alignment vertical="center"/>
    </xf>
    <xf numFmtId="0" fontId="49" fillId="0" borderId="49" xfId="52" applyFont="1" applyBorder="1" applyAlignment="1">
      <alignment vertical="center" wrapText="1"/>
    </xf>
    <xf numFmtId="0" fontId="49" fillId="0" borderId="50" xfId="52" applyFont="1" applyBorder="1" applyAlignment="1">
      <alignment horizontal="center" vertical="center" wrapText="1"/>
    </xf>
    <xf numFmtId="0" fontId="48" fillId="0" borderId="1" xfId="52" applyFont="1" applyBorder="1" applyAlignment="1">
      <alignment vertical="center" wrapText="1"/>
    </xf>
    <xf numFmtId="0" fontId="48" fillId="0" borderId="72" xfId="52" applyFont="1" applyBorder="1" applyAlignment="1">
      <alignment vertical="center" wrapText="1"/>
    </xf>
    <xf numFmtId="0" fontId="48" fillId="0" borderId="72" xfId="52" applyFont="1" applyBorder="1" applyAlignment="1">
      <alignment horizontal="center" vertical="center" wrapText="1"/>
    </xf>
    <xf numFmtId="0" fontId="48" fillId="0" borderId="73" xfId="52" applyFont="1" applyBorder="1" applyAlignment="1">
      <alignment vertical="center" wrapText="1"/>
    </xf>
    <xf numFmtId="0" fontId="49" fillId="0" borderId="5" xfId="0" applyFont="1" applyBorder="1" applyAlignment="1">
      <alignment horizontal="justify" vertical="center" wrapText="1"/>
    </xf>
    <xf numFmtId="0" fontId="49" fillId="0" borderId="4" xfId="0" applyFont="1" applyBorder="1" applyAlignment="1">
      <alignment horizontal="center" vertical="center" wrapText="1"/>
    </xf>
    <xf numFmtId="0" fontId="48" fillId="0" borderId="0" xfId="52" applyFont="1" applyAlignment="1">
      <alignment horizontal="center" vertical="center" wrapText="1"/>
    </xf>
    <xf numFmtId="0" fontId="48" fillId="0" borderId="71" xfId="52" applyFont="1" applyBorder="1" applyAlignment="1">
      <alignment vertical="center" wrapText="1"/>
    </xf>
    <xf numFmtId="3" fontId="49" fillId="0" borderId="2" xfId="52" applyNumberFormat="1" applyFont="1" applyBorder="1" applyAlignment="1">
      <alignment horizontal="right" vertical="center" wrapText="1"/>
    </xf>
    <xf numFmtId="0" fontId="49" fillId="0" borderId="61" xfId="52" applyFont="1" applyBorder="1" applyAlignment="1">
      <alignment horizontal="left" vertical="center" wrapText="1"/>
    </xf>
    <xf numFmtId="0" fontId="49" fillId="0" borderId="37" xfId="68" applyFont="1" applyBorder="1" applyAlignment="1">
      <alignment vertical="center" wrapText="1"/>
    </xf>
    <xf numFmtId="49" fontId="49" fillId="0" borderId="22" xfId="52" applyNumberFormat="1" applyFont="1" applyBorder="1" applyAlignment="1">
      <alignment horizontal="center" vertical="center" wrapText="1"/>
    </xf>
    <xf numFmtId="3" fontId="49" fillId="0" borderId="12" xfId="52" applyNumberFormat="1" applyFont="1" applyBorder="1" applyAlignment="1">
      <alignment horizontal="right" vertical="center" wrapText="1"/>
    </xf>
    <xf numFmtId="0" fontId="49" fillId="0" borderId="11" xfId="52" applyFont="1" applyBorder="1" applyAlignment="1">
      <alignment horizontal="justify" vertical="center" wrapText="1"/>
    </xf>
    <xf numFmtId="3" fontId="49" fillId="0" borderId="52" xfId="52" applyNumberFormat="1" applyFont="1" applyBorder="1" applyAlignment="1">
      <alignment horizontal="center" vertical="center" wrapText="1"/>
    </xf>
    <xf numFmtId="0" fontId="48" fillId="26" borderId="0" xfId="52" applyFont="1" applyFill="1" applyAlignment="1">
      <alignment vertical="center" wrapText="1"/>
    </xf>
    <xf numFmtId="3" fontId="48" fillId="26" borderId="0" xfId="52" applyNumberFormat="1" applyFont="1" applyFill="1" applyAlignment="1">
      <alignment vertical="center" wrapText="1"/>
    </xf>
    <xf numFmtId="3" fontId="48" fillId="26" borderId="0" xfId="52" applyNumberFormat="1" applyFont="1" applyFill="1" applyAlignment="1">
      <alignment horizontal="center" vertical="center" wrapText="1"/>
    </xf>
    <xf numFmtId="3" fontId="49" fillId="0" borderId="7" xfId="52" applyNumberFormat="1" applyFont="1" applyBorder="1" applyAlignment="1">
      <alignment horizontal="center" vertical="center"/>
    </xf>
    <xf numFmtId="0" fontId="49" fillId="0" borderId="19" xfId="52" applyFont="1" applyBorder="1" applyAlignment="1">
      <alignment vertical="center" wrapText="1"/>
    </xf>
    <xf numFmtId="3" fontId="48" fillId="0" borderId="39" xfId="52" applyNumberFormat="1" applyFont="1" applyBorder="1" applyAlignment="1">
      <alignment vertical="center" wrapText="1"/>
    </xf>
    <xf numFmtId="0" fontId="49" fillId="0" borderId="39" xfId="52" applyFont="1" applyBorder="1" applyAlignment="1">
      <alignment horizontal="center" vertical="center" wrapText="1"/>
    </xf>
    <xf numFmtId="49" fontId="49" fillId="0" borderId="84" xfId="52" applyNumberFormat="1" applyFont="1" applyBorder="1" applyAlignment="1">
      <alignment horizontal="justify" vertical="center"/>
    </xf>
    <xf numFmtId="0" fontId="69" fillId="0" borderId="40" xfId="52" applyFont="1" applyBorder="1" applyAlignment="1">
      <alignment vertical="center"/>
    </xf>
    <xf numFmtId="0" fontId="69" fillId="0" borderId="40" xfId="52" applyFont="1" applyBorder="1" applyAlignment="1">
      <alignment horizontal="center" vertical="center"/>
    </xf>
    <xf numFmtId="0" fontId="48" fillId="0" borderId="0" xfId="0" applyFont="1" applyAlignment="1">
      <alignment horizontal="right"/>
    </xf>
    <xf numFmtId="3" fontId="49" fillId="0" borderId="42" xfId="52" applyNumberFormat="1" applyFont="1" applyBorder="1" applyAlignment="1">
      <alignment horizontal="center" vertical="center"/>
    </xf>
    <xf numFmtId="0" fontId="49" fillId="0" borderId="58" xfId="68" applyFont="1" applyBorder="1" applyAlignment="1">
      <alignment vertical="center" wrapText="1"/>
    </xf>
    <xf numFmtId="49" fontId="49" fillId="0" borderId="42" xfId="52" applyNumberFormat="1" applyFont="1" applyBorder="1" applyAlignment="1">
      <alignment horizontal="center" vertical="center" wrapText="1"/>
    </xf>
    <xf numFmtId="3" fontId="49" fillId="0" borderId="42" xfId="52" applyNumberFormat="1" applyFont="1" applyBorder="1" applyAlignment="1">
      <alignment vertical="center"/>
    </xf>
    <xf numFmtId="3" fontId="49" fillId="0" borderId="42" xfId="52" applyNumberFormat="1" applyFont="1" applyBorder="1" applyAlignment="1">
      <alignment horizontal="right" vertical="center"/>
    </xf>
    <xf numFmtId="0" fontId="49" fillId="0" borderId="85" xfId="52" applyFont="1" applyBorder="1" applyAlignment="1">
      <alignment horizontal="justify" vertical="center" wrapText="1"/>
    </xf>
    <xf numFmtId="3" fontId="49" fillId="0" borderId="4" xfId="68" applyNumberFormat="1" applyFont="1" applyFill="1" applyBorder="1" applyAlignment="1">
      <alignment vertical="center"/>
    </xf>
    <xf numFmtId="0" fontId="49" fillId="0" borderId="42" xfId="52" applyFont="1" applyBorder="1" applyAlignment="1" applyProtection="1">
      <alignment horizontal="center" vertical="center" wrapText="1"/>
      <protection locked="0"/>
    </xf>
    <xf numFmtId="3" fontId="49" fillId="0" borderId="42" xfId="52" applyNumberFormat="1" applyFont="1" applyBorder="1" applyAlignment="1" applyProtection="1">
      <alignment horizontal="right" vertical="center" wrapText="1"/>
      <protection locked="0"/>
    </xf>
    <xf numFmtId="3" fontId="49" fillId="0" borderId="42" xfId="52" applyNumberFormat="1" applyFont="1" applyBorder="1" applyAlignment="1">
      <alignment horizontal="center" vertical="center" wrapText="1"/>
    </xf>
    <xf numFmtId="0" fontId="49" fillId="0" borderId="43" xfId="52" applyFont="1" applyBorder="1" applyAlignment="1" applyProtection="1">
      <alignment horizontal="justify" vertical="center" wrapText="1"/>
      <protection locked="0"/>
    </xf>
    <xf numFmtId="10" fontId="14" fillId="0" borderId="0" xfId="52" applyNumberFormat="1" applyFont="1" applyAlignment="1">
      <alignment vertical="center"/>
    </xf>
    <xf numFmtId="10" fontId="48" fillId="0" borderId="0" xfId="52" applyNumberFormat="1" applyFont="1" applyAlignment="1">
      <alignment horizontal="right" vertical="center"/>
    </xf>
    <xf numFmtId="0" fontId="48" fillId="0" borderId="3" xfId="52" applyFont="1" applyFill="1" applyBorder="1" applyAlignment="1">
      <alignment vertical="center"/>
    </xf>
    <xf numFmtId="0" fontId="48" fillId="0" borderId="51" xfId="52" applyFont="1" applyFill="1" applyBorder="1" applyAlignment="1">
      <alignment vertical="center"/>
    </xf>
    <xf numFmtId="3" fontId="48" fillId="0" borderId="51" xfId="52" applyNumberFormat="1" applyFont="1" applyFill="1" applyBorder="1" applyAlignment="1">
      <alignment vertical="center"/>
    </xf>
    <xf numFmtId="3" fontId="49" fillId="0" borderId="0" xfId="52" applyNumberFormat="1" applyFont="1" applyBorder="1" applyAlignment="1">
      <alignment vertical="center"/>
    </xf>
    <xf numFmtId="3" fontId="49" fillId="0" borderId="71" xfId="52" applyNumberFormat="1" applyFont="1" applyBorder="1" applyAlignment="1">
      <alignment vertical="center"/>
    </xf>
    <xf numFmtId="3" fontId="48" fillId="25" borderId="16" xfId="52" applyNumberFormat="1" applyFont="1" applyFill="1" applyBorder="1" applyAlignment="1">
      <alignment vertical="center" wrapText="1"/>
    </xf>
    <xf numFmtId="3" fontId="48" fillId="0" borderId="72" xfId="52" applyNumberFormat="1" applyFont="1" applyFill="1" applyBorder="1" applyAlignment="1">
      <alignment vertical="center" wrapText="1"/>
    </xf>
    <xf numFmtId="4" fontId="49" fillId="0" borderId="46" xfId="52" applyNumberFormat="1" applyFont="1" applyBorder="1" applyAlignment="1">
      <alignment horizontal="justify" vertical="center" wrapText="1"/>
    </xf>
    <xf numFmtId="3" fontId="48" fillId="0" borderId="51" xfId="52" applyNumberFormat="1" applyFont="1" applyFill="1" applyBorder="1" applyAlignment="1">
      <alignment horizontal="center" vertical="center"/>
    </xf>
    <xf numFmtId="0" fontId="48" fillId="0" borderId="51" xfId="52" applyFont="1" applyFill="1" applyBorder="1" applyAlignment="1">
      <alignment horizontal="center" vertical="center"/>
    </xf>
    <xf numFmtId="10" fontId="48" fillId="25" borderId="18" xfId="52" applyNumberFormat="1" applyFont="1" applyFill="1" applyBorder="1" applyAlignment="1">
      <alignment horizontal="center" vertical="center" wrapText="1"/>
    </xf>
    <xf numFmtId="0" fontId="70" fillId="0" borderId="0" xfId="54" applyFont="1" applyAlignment="1">
      <alignment horizontal="center" vertical="center"/>
    </xf>
    <xf numFmtId="0" fontId="70" fillId="0" borderId="0" xfId="54" applyFont="1" applyAlignment="1">
      <alignment vertical="center"/>
    </xf>
    <xf numFmtId="0" fontId="70" fillId="0" borderId="0" xfId="54" applyFont="1" applyAlignment="1">
      <alignment horizontal="justify" vertical="justify"/>
    </xf>
    <xf numFmtId="0" fontId="70" fillId="0" borderId="0" xfId="54" applyFont="1" applyFill="1" applyAlignment="1">
      <alignment vertical="center"/>
    </xf>
    <xf numFmtId="0" fontId="71" fillId="0" borderId="0" xfId="54" applyFont="1" applyAlignment="1">
      <alignment vertical="center"/>
    </xf>
    <xf numFmtId="0" fontId="41" fillId="0" borderId="0" xfId="1" applyFont="1" applyAlignment="1">
      <alignment horizontal="center" vertical="center" wrapText="1"/>
    </xf>
    <xf numFmtId="0" fontId="53" fillId="0" borderId="0" xfId="52" applyFont="1" applyFill="1" applyAlignment="1">
      <alignment vertical="center"/>
    </xf>
    <xf numFmtId="0" fontId="49" fillId="0" borderId="0" xfId="52" applyFont="1" applyFill="1" applyAlignment="1">
      <alignment vertical="center"/>
    </xf>
    <xf numFmtId="0" fontId="49" fillId="0" borderId="45" xfId="68" applyFont="1" applyFill="1" applyBorder="1" applyAlignment="1">
      <alignment horizontal="justify" vertical="center" wrapText="1"/>
    </xf>
    <xf numFmtId="3" fontId="49" fillId="0" borderId="70" xfId="54" applyNumberFormat="1" applyFont="1" applyFill="1" applyBorder="1" applyAlignment="1">
      <alignment horizontal="right" vertical="center"/>
    </xf>
    <xf numFmtId="0" fontId="46" fillId="0" borderId="0" xfId="54" applyFont="1" applyAlignment="1">
      <alignment vertical="center"/>
    </xf>
    <xf numFmtId="0" fontId="46" fillId="0" borderId="0" xfId="54" applyFont="1" applyFill="1" applyAlignment="1">
      <alignment vertical="center"/>
    </xf>
    <xf numFmtId="0" fontId="49" fillId="0" borderId="49" xfId="54" applyFont="1" applyFill="1" applyBorder="1" applyAlignment="1">
      <alignment horizontal="left" vertical="center" wrapText="1"/>
    </xf>
    <xf numFmtId="0" fontId="49" fillId="0" borderId="50" xfId="54" applyFont="1" applyFill="1" applyBorder="1" applyAlignment="1">
      <alignment horizontal="center" vertical="center" wrapText="1"/>
    </xf>
    <xf numFmtId="3" fontId="49" fillId="0" borderId="4" xfId="54" applyNumberFormat="1" applyFont="1" applyFill="1" applyBorder="1" applyAlignment="1">
      <alignment horizontal="right" vertical="center" wrapText="1"/>
    </xf>
    <xf numFmtId="3" fontId="49" fillId="0" borderId="5" xfId="54" applyNumberFormat="1" applyFont="1" applyFill="1" applyBorder="1" applyAlignment="1">
      <alignment horizontal="justify" vertical="center" wrapText="1"/>
    </xf>
    <xf numFmtId="0" fontId="48" fillId="25" borderId="62" xfId="54" applyFont="1" applyFill="1" applyBorder="1" applyAlignment="1">
      <alignment vertical="center" wrapText="1"/>
    </xf>
    <xf numFmtId="0" fontId="48" fillId="25" borderId="63" xfId="54" applyFont="1" applyFill="1" applyBorder="1" applyAlignment="1">
      <alignment horizontal="center" vertical="center"/>
    </xf>
    <xf numFmtId="3" fontId="48" fillId="25" borderId="63" xfId="54" applyNumberFormat="1" applyFont="1" applyFill="1" applyBorder="1" applyAlignment="1">
      <alignment vertical="center"/>
    </xf>
    <xf numFmtId="3" fontId="48" fillId="25" borderId="65" xfId="54" applyNumberFormat="1" applyFont="1" applyFill="1" applyBorder="1" applyAlignment="1">
      <alignment horizontal="justify" vertical="justify"/>
    </xf>
    <xf numFmtId="3" fontId="49" fillId="0" borderId="68" xfId="54" applyNumberFormat="1" applyFont="1" applyFill="1" applyBorder="1" applyAlignment="1">
      <alignment horizontal="right" vertical="center"/>
    </xf>
    <xf numFmtId="3" fontId="49" fillId="0" borderId="69" xfId="54" applyNumberFormat="1" applyFont="1" applyFill="1" applyBorder="1" applyAlignment="1">
      <alignment horizontal="right" vertical="center"/>
    </xf>
    <xf numFmtId="0" fontId="48" fillId="25" borderId="62" xfId="54" applyFont="1" applyFill="1" applyBorder="1" applyAlignment="1">
      <alignment vertical="center"/>
    </xf>
    <xf numFmtId="3" fontId="48" fillId="25" borderId="67" xfId="54" applyNumberFormat="1" applyFont="1" applyFill="1" applyBorder="1" applyAlignment="1">
      <alignment horizontal="justify" vertical="justify"/>
    </xf>
    <xf numFmtId="3" fontId="49" fillId="0" borderId="45" xfId="54" applyNumberFormat="1" applyFont="1" applyFill="1" applyBorder="1" applyAlignment="1">
      <alignment horizontal="justify" vertical="center" wrapText="1"/>
    </xf>
    <xf numFmtId="0" fontId="49" fillId="0" borderId="4" xfId="54" applyFont="1" applyFill="1" applyBorder="1" applyAlignment="1">
      <alignment horizontal="center" vertical="center" wrapText="1"/>
    </xf>
    <xf numFmtId="3" fontId="49" fillId="0" borderId="8" xfId="54" applyNumberFormat="1" applyFont="1" applyFill="1" applyBorder="1" applyAlignment="1">
      <alignment horizontal="right" vertical="center"/>
    </xf>
    <xf numFmtId="3" fontId="48" fillId="25" borderId="64" xfId="54" applyNumberFormat="1" applyFont="1" applyFill="1" applyBorder="1" applyAlignment="1">
      <alignment vertical="center"/>
    </xf>
    <xf numFmtId="3" fontId="49" fillId="0" borderId="4" xfId="54" applyNumberFormat="1" applyFont="1" applyFill="1" applyBorder="1" applyAlignment="1">
      <alignment horizontal="right" vertical="center"/>
    </xf>
    <xf numFmtId="0" fontId="37" fillId="0" borderId="15" xfId="1" applyFont="1" applyBorder="1" applyAlignment="1">
      <alignment horizontal="center" vertical="center" wrapText="1"/>
    </xf>
    <xf numFmtId="49" fontId="19" fillId="3" borderId="3" xfId="1" applyNumberFormat="1" applyFont="1" applyFill="1" applyBorder="1"/>
    <xf numFmtId="0" fontId="20" fillId="0" borderId="0" xfId="1" applyFont="1"/>
    <xf numFmtId="49" fontId="14" fillId="0" borderId="3" xfId="1" applyNumberFormat="1" applyFont="1" applyBorder="1" applyAlignment="1">
      <alignment horizontal="left"/>
    </xf>
    <xf numFmtId="3" fontId="38" fillId="25" borderId="9" xfId="1" applyNumberFormat="1" applyFont="1" applyFill="1" applyBorder="1"/>
    <xf numFmtId="3" fontId="38" fillId="25" borderId="13" xfId="1" applyNumberFormat="1" applyFont="1" applyFill="1" applyBorder="1"/>
    <xf numFmtId="49" fontId="14" fillId="0" borderId="3" xfId="1" applyNumberFormat="1" applyFont="1" applyBorder="1" applyAlignment="1">
      <alignment horizontal="left" wrapText="1"/>
    </xf>
    <xf numFmtId="3" fontId="38" fillId="25" borderId="2" xfId="1" applyNumberFormat="1" applyFont="1" applyFill="1" applyBorder="1"/>
    <xf numFmtId="3" fontId="38" fillId="25" borderId="5" xfId="1" applyNumberFormat="1" applyFont="1" applyFill="1" applyBorder="1"/>
    <xf numFmtId="49" fontId="14" fillId="0" borderId="19" xfId="1" applyNumberFormat="1" applyFont="1" applyBorder="1" applyAlignment="1">
      <alignment horizontal="left" wrapText="1"/>
    </xf>
    <xf numFmtId="3" fontId="38" fillId="25" borderId="23" xfId="1" applyNumberFormat="1" applyFont="1" applyFill="1" applyBorder="1"/>
    <xf numFmtId="3" fontId="38" fillId="25" borderId="21" xfId="1" applyNumberFormat="1" applyFont="1" applyFill="1" applyBorder="1"/>
    <xf numFmtId="49" fontId="18" fillId="0" borderId="0" xfId="1" applyNumberFormat="1" applyFont="1" applyAlignment="1">
      <alignment horizontal="left" vertical="center"/>
    </xf>
    <xf numFmtId="164" fontId="14" fillId="0" borderId="0" xfId="1" applyNumberFormat="1" applyFont="1" applyAlignment="1">
      <alignment horizontal="center" vertical="center"/>
    </xf>
    <xf numFmtId="4" fontId="15" fillId="0" borderId="0" xfId="1" applyNumberFormat="1" applyFont="1" applyAlignment="1">
      <alignment horizontal="center" vertical="center"/>
    </xf>
    <xf numFmtId="4" fontId="14" fillId="0" borderId="0" xfId="1" applyNumberFormat="1" applyFont="1" applyAlignment="1">
      <alignment horizontal="center" vertical="center"/>
    </xf>
    <xf numFmtId="49" fontId="16" fillId="0" borderId="1" xfId="1" applyNumberFormat="1" applyFont="1" applyBorder="1"/>
    <xf numFmtId="3" fontId="16" fillId="25" borderId="2" xfId="1" applyNumberFormat="1" applyFont="1" applyFill="1" applyBorder="1"/>
    <xf numFmtId="3" fontId="37" fillId="0" borderId="10" xfId="1" applyNumberFormat="1" applyFont="1" applyBorder="1"/>
    <xf numFmtId="3" fontId="37" fillId="0" borderId="9" xfId="1" applyNumberFormat="1" applyFont="1" applyBorder="1"/>
    <xf numFmtId="3" fontId="37" fillId="0" borderId="13" xfId="1" applyNumberFormat="1" applyFont="1" applyBorder="1"/>
    <xf numFmtId="49" fontId="19" fillId="0" borderId="3" xfId="1" applyNumberFormat="1" applyFont="1" applyBorder="1" applyAlignment="1">
      <alignment horizontal="left"/>
    </xf>
    <xf numFmtId="3" fontId="19" fillId="25" borderId="2" xfId="1" applyNumberFormat="1" applyFont="1" applyFill="1" applyBorder="1"/>
    <xf numFmtId="3" fontId="14" fillId="25" borderId="10" xfId="1" applyNumberFormat="1" applyFont="1" applyFill="1" applyBorder="1"/>
    <xf numFmtId="3" fontId="14" fillId="0" borderId="10" xfId="1" applyNumberFormat="1" applyFont="1" applyBorder="1"/>
    <xf numFmtId="3" fontId="14" fillId="0" borderId="9" xfId="1" applyNumberFormat="1" applyFont="1" applyBorder="1"/>
    <xf numFmtId="3" fontId="14" fillId="0" borderId="13" xfId="1" applyNumberFormat="1" applyFont="1" applyBorder="1"/>
    <xf numFmtId="49" fontId="14" fillId="0" borderId="3" xfId="1" applyNumberFormat="1" applyFont="1" applyBorder="1"/>
    <xf numFmtId="49" fontId="16" fillId="0" borderId="3" xfId="1" applyNumberFormat="1" applyFont="1" applyBorder="1"/>
    <xf numFmtId="49" fontId="16" fillId="0" borderId="3" xfId="1" applyNumberFormat="1" applyFont="1" applyBorder="1" applyAlignment="1">
      <alignment horizontal="left"/>
    </xf>
    <xf numFmtId="3" fontId="14" fillId="0" borderId="10" xfId="1" applyNumberFormat="1" applyFont="1" applyBorder="1" applyAlignment="1">
      <alignment horizontal="right"/>
    </xf>
    <xf numFmtId="3" fontId="14" fillId="0" borderId="9" xfId="1" applyNumberFormat="1" applyFont="1" applyBorder="1" applyAlignment="1">
      <alignment horizontal="right"/>
    </xf>
    <xf numFmtId="3" fontId="14" fillId="0" borderId="13" xfId="1" applyNumberFormat="1" applyFont="1" applyBorder="1" applyAlignment="1">
      <alignment horizontal="right"/>
    </xf>
    <xf numFmtId="49" fontId="14" fillId="0" borderId="6" xfId="1" applyNumberFormat="1" applyFont="1" applyBorder="1"/>
    <xf numFmtId="49" fontId="16" fillId="0" borderId="6" xfId="1" applyNumberFormat="1" applyFont="1" applyBorder="1" applyAlignment="1">
      <alignment horizontal="left" wrapText="1"/>
    </xf>
    <xf numFmtId="3" fontId="16" fillId="25" borderId="7" xfId="1" applyNumberFormat="1" applyFont="1" applyFill="1" applyBorder="1"/>
    <xf numFmtId="3" fontId="37" fillId="0" borderId="12" xfId="1" applyNumberFormat="1" applyFont="1" applyBorder="1"/>
    <xf numFmtId="3" fontId="37" fillId="0" borderId="26" xfId="1" applyNumberFormat="1" applyFont="1" applyBorder="1"/>
    <xf numFmtId="3" fontId="37" fillId="0" borderId="11" xfId="1" applyNumberFormat="1" applyFont="1" applyBorder="1"/>
    <xf numFmtId="49" fontId="16" fillId="0" borderId="15" xfId="1" applyNumberFormat="1" applyFont="1" applyBorder="1"/>
    <xf numFmtId="3" fontId="16" fillId="25" borderId="17" xfId="1" applyNumberFormat="1" applyFont="1" applyFill="1" applyBorder="1"/>
    <xf numFmtId="3" fontId="37" fillId="0" borderId="18" xfId="1" applyNumberFormat="1" applyFont="1" applyBorder="1"/>
    <xf numFmtId="3" fontId="37" fillId="0" borderId="17" xfId="1" applyNumberFormat="1" applyFont="1" applyBorder="1"/>
    <xf numFmtId="3" fontId="37" fillId="0" borderId="16" xfId="1" applyNumberFormat="1" applyFont="1" applyBorder="1"/>
    <xf numFmtId="0" fontId="16" fillId="0" borderId="3" xfId="1" applyFont="1" applyBorder="1" applyAlignment="1">
      <alignment horizontal="left"/>
    </xf>
    <xf numFmtId="3" fontId="16" fillId="0" borderId="24" xfId="1" applyNumberFormat="1" applyFont="1" applyBorder="1"/>
    <xf numFmtId="3" fontId="16" fillId="0" borderId="25" xfId="1" applyNumberFormat="1" applyFont="1" applyBorder="1"/>
    <xf numFmtId="3" fontId="16" fillId="0" borderId="36" xfId="1" applyNumberFormat="1" applyFont="1" applyBorder="1"/>
    <xf numFmtId="3" fontId="16" fillId="0" borderId="4" xfId="1" applyNumberFormat="1" applyFont="1" applyBorder="1"/>
    <xf numFmtId="3" fontId="16" fillId="0" borderId="5" xfId="1" applyNumberFormat="1" applyFont="1" applyBorder="1"/>
    <xf numFmtId="0" fontId="14" fillId="0" borderId="3" xfId="1" applyFont="1" applyBorder="1" applyAlignment="1">
      <alignment horizontal="left" wrapText="1"/>
    </xf>
    <xf numFmtId="3" fontId="14" fillId="0" borderId="4" xfId="1" applyNumberFormat="1" applyFont="1" applyBorder="1"/>
    <xf numFmtId="3" fontId="14" fillId="0" borderId="5" xfId="1" applyNumberFormat="1" applyFont="1" applyBorder="1"/>
    <xf numFmtId="0" fontId="14" fillId="0" borderId="3" xfId="1" applyFont="1" applyBorder="1" applyAlignment="1">
      <alignment horizontal="left"/>
    </xf>
    <xf numFmtId="0" fontId="16" fillId="0" borderId="3" xfId="1" applyFont="1" applyBorder="1" applyAlignment="1">
      <alignment horizontal="left" wrapText="1"/>
    </xf>
    <xf numFmtId="3" fontId="14" fillId="0" borderId="4" xfId="1" applyNumberFormat="1" applyFont="1" applyBorder="1" applyAlignment="1">
      <alignment horizontal="right"/>
    </xf>
    <xf numFmtId="3" fontId="14" fillId="0" borderId="5" xfId="1" applyNumberFormat="1" applyFont="1" applyBorder="1" applyAlignment="1">
      <alignment horizontal="right"/>
    </xf>
    <xf numFmtId="0" fontId="14" fillId="0" borderId="37" xfId="1" applyFont="1" applyBorder="1" applyAlignment="1">
      <alignment horizontal="left"/>
    </xf>
    <xf numFmtId="0" fontId="13" fillId="0" borderId="4" xfId="1" applyFont="1" applyBorder="1" applyAlignment="1">
      <alignment vertical="center"/>
    </xf>
    <xf numFmtId="0" fontId="13" fillId="0" borderId="5" xfId="1" applyFont="1" applyBorder="1" applyAlignment="1">
      <alignment vertical="center"/>
    </xf>
    <xf numFmtId="0" fontId="16" fillId="0" borderId="37" xfId="1" applyFont="1" applyBorder="1" applyAlignment="1">
      <alignment horizontal="left" wrapText="1"/>
    </xf>
    <xf numFmtId="3" fontId="59" fillId="25" borderId="2" xfId="1" applyNumberFormat="1" applyFont="1" applyFill="1" applyBorder="1"/>
    <xf numFmtId="3" fontId="14" fillId="25" borderId="4" xfId="1" applyNumberFormat="1" applyFont="1" applyFill="1" applyBorder="1"/>
    <xf numFmtId="0" fontId="14" fillId="0" borderId="1" xfId="1" applyFont="1" applyBorder="1" applyAlignment="1">
      <alignment horizontal="left"/>
    </xf>
    <xf numFmtId="0" fontId="16" fillId="0" borderId="1" xfId="1" applyFont="1" applyBorder="1" applyAlignment="1">
      <alignment horizontal="left"/>
    </xf>
    <xf numFmtId="3" fontId="60" fillId="25" borderId="10" xfId="1" applyNumberFormat="1" applyFont="1" applyFill="1" applyBorder="1"/>
    <xf numFmtId="0" fontId="18" fillId="0" borderId="6" xfId="0" applyFont="1" applyBorder="1" applyAlignment="1">
      <alignment horizontal="left" wrapText="1"/>
    </xf>
    <xf numFmtId="0" fontId="22" fillId="0" borderId="8" xfId="1" applyFont="1" applyBorder="1" applyAlignment="1">
      <alignment vertical="center"/>
    </xf>
    <xf numFmtId="0" fontId="22" fillId="0" borderId="38" xfId="1" applyFont="1" applyBorder="1" applyAlignment="1">
      <alignment vertical="center"/>
    </xf>
    <xf numFmtId="0" fontId="16" fillId="0" borderId="15" xfId="1" applyFont="1" applyBorder="1" applyAlignment="1">
      <alignment horizontal="left"/>
    </xf>
    <xf numFmtId="3" fontId="16" fillId="0" borderId="18" xfId="1" applyNumberFormat="1" applyFont="1" applyBorder="1"/>
    <xf numFmtId="3" fontId="16" fillId="0" borderId="16" xfId="1" applyNumberFormat="1" applyFont="1" applyBorder="1"/>
    <xf numFmtId="0" fontId="46" fillId="0" borderId="3" xfId="51" applyFont="1" applyBorder="1" applyAlignment="1">
      <alignment horizontal="justify" vertical="center" wrapText="1"/>
    </xf>
    <xf numFmtId="0" fontId="46" fillId="0" borderId="4" xfId="51" applyFont="1" applyBorder="1" applyAlignment="1">
      <alignment horizontal="center" vertical="center"/>
    </xf>
    <xf numFmtId="3" fontId="45" fillId="0" borderId="4" xfId="51" applyNumberFormat="1" applyFont="1" applyBorder="1" applyAlignment="1">
      <alignment horizontal="right" vertical="center" wrapText="1"/>
    </xf>
    <xf numFmtId="3" fontId="45" fillId="0" borderId="45" xfId="51" applyNumberFormat="1" applyFont="1" applyBorder="1" applyAlignment="1">
      <alignment horizontal="right" vertical="center" wrapText="1"/>
    </xf>
    <xf numFmtId="0" fontId="45" fillId="0" borderId="3" xfId="51" applyFont="1" applyBorder="1" applyAlignment="1">
      <alignment vertical="center" wrapText="1"/>
    </xf>
    <xf numFmtId="3" fontId="45" fillId="0" borderId="5" xfId="51" applyNumberFormat="1" applyFont="1" applyBorder="1" applyAlignment="1">
      <alignment horizontal="right" vertical="center" wrapText="1"/>
    </xf>
    <xf numFmtId="49" fontId="44" fillId="0" borderId="3" xfId="1" applyNumberFormat="1" applyFont="1" applyBorder="1" applyAlignment="1">
      <alignment horizontal="justify" vertical="center"/>
    </xf>
    <xf numFmtId="3" fontId="44" fillId="0" borderId="4" xfId="1" applyNumberFormat="1" applyFont="1" applyBorder="1" applyAlignment="1">
      <alignment vertical="center"/>
    </xf>
    <xf numFmtId="3" fontId="44" fillId="0" borderId="45" xfId="1" applyNumberFormat="1" applyFont="1" applyBorder="1" applyAlignment="1">
      <alignment vertical="center"/>
    </xf>
    <xf numFmtId="3" fontId="45" fillId="0" borderId="4" xfId="1" applyNumberFormat="1" applyFont="1" applyBorder="1" applyAlignment="1">
      <alignment vertical="center"/>
    </xf>
    <xf numFmtId="3" fontId="45" fillId="0" borderId="45" xfId="1" applyNumberFormat="1" applyFont="1" applyBorder="1" applyAlignment="1">
      <alignment vertical="center"/>
    </xf>
    <xf numFmtId="3" fontId="45" fillId="0" borderId="2" xfId="51" applyNumberFormat="1" applyFont="1" applyBorder="1" applyAlignment="1">
      <alignment horizontal="right" vertical="center" wrapText="1"/>
    </xf>
    <xf numFmtId="0" fontId="46" fillId="0" borderId="3" xfId="51" applyFont="1" applyBorder="1" applyAlignment="1">
      <alignment vertical="center" wrapText="1"/>
    </xf>
    <xf numFmtId="3" fontId="46" fillId="0" borderId="4" xfId="51" applyNumberFormat="1" applyFont="1" applyBorder="1" applyAlignment="1">
      <alignment horizontal="right" vertical="center" wrapText="1"/>
    </xf>
    <xf numFmtId="3" fontId="46" fillId="0" borderId="2" xfId="51" applyNumberFormat="1" applyFont="1" applyBorder="1" applyAlignment="1">
      <alignment horizontal="right" vertical="center" wrapText="1"/>
    </xf>
    <xf numFmtId="3" fontId="46" fillId="0" borderId="5" xfId="51" applyNumberFormat="1" applyFont="1" applyBorder="1" applyAlignment="1">
      <alignment horizontal="right" vertical="center" wrapText="1"/>
    </xf>
    <xf numFmtId="0" fontId="45" fillId="0" borderId="1" xfId="51" applyFont="1" applyBorder="1" applyAlignment="1">
      <alignment vertical="center" wrapText="1"/>
    </xf>
    <xf numFmtId="0" fontId="46" fillId="0" borderId="10" xfId="51" applyFont="1" applyBorder="1" applyAlignment="1">
      <alignment horizontal="center" vertical="center"/>
    </xf>
    <xf numFmtId="0" fontId="47" fillId="0" borderId="3" xfId="51" applyFont="1" applyBorder="1" applyAlignment="1">
      <alignment vertical="center" wrapText="1"/>
    </xf>
    <xf numFmtId="0" fontId="47" fillId="0" borderId="4" xfId="51" applyFont="1" applyBorder="1" applyAlignment="1">
      <alignment horizontal="center" vertical="center"/>
    </xf>
    <xf numFmtId="0" fontId="46" fillId="0" borderId="1" xfId="51" applyFont="1" applyBorder="1" applyAlignment="1">
      <alignment vertical="center" wrapText="1"/>
    </xf>
    <xf numFmtId="3" fontId="46" fillId="0" borderId="4" xfId="51" applyNumberFormat="1" applyFont="1" applyBorder="1" applyAlignment="1">
      <alignment horizontal="right" vertical="center"/>
    </xf>
    <xf numFmtId="3" fontId="46" fillId="0" borderId="2" xfId="51" applyNumberFormat="1" applyFont="1" applyBorder="1" applyAlignment="1">
      <alignment horizontal="right" vertical="center"/>
    </xf>
    <xf numFmtId="3" fontId="46" fillId="0" borderId="5" xfId="51" applyNumberFormat="1" applyFont="1" applyBorder="1" applyAlignment="1">
      <alignment horizontal="right" vertical="center"/>
    </xf>
    <xf numFmtId="0" fontId="46" fillId="0" borderId="37" xfId="51" applyFont="1" applyBorder="1" applyAlignment="1">
      <alignment vertical="center"/>
    </xf>
    <xf numFmtId="0" fontId="46" fillId="0" borderId="6" xfId="51" applyFont="1" applyBorder="1" applyAlignment="1">
      <alignment vertical="center" wrapText="1"/>
    </xf>
    <xf numFmtId="0" fontId="46" fillId="0" borderId="8" xfId="51" applyFont="1" applyBorder="1" applyAlignment="1">
      <alignment horizontal="center" vertical="center"/>
    </xf>
    <xf numFmtId="3" fontId="46" fillId="0" borderId="8" xfId="51" applyNumberFormat="1" applyFont="1" applyBorder="1" applyAlignment="1">
      <alignment horizontal="right" vertical="center" wrapText="1"/>
    </xf>
    <xf numFmtId="3" fontId="46" fillId="0" borderId="7" xfId="51" applyNumberFormat="1" applyFont="1" applyBorder="1" applyAlignment="1">
      <alignment horizontal="right" vertical="center" wrapText="1"/>
    </xf>
    <xf numFmtId="3" fontId="46" fillId="0" borderId="38" xfId="51" applyNumberFormat="1" applyFont="1" applyBorder="1" applyAlignment="1">
      <alignment horizontal="right" vertical="center" wrapText="1"/>
    </xf>
    <xf numFmtId="0" fontId="46" fillId="0" borderId="6" xfId="51" applyFont="1" applyBorder="1" applyAlignment="1">
      <alignment horizontal="justify" vertical="center" wrapText="1"/>
    </xf>
    <xf numFmtId="3" fontId="45" fillId="27" borderId="2" xfId="34" applyNumberFormat="1" applyFont="1" applyFill="1" applyBorder="1" applyAlignment="1">
      <alignment horizontal="right" vertical="center" wrapText="1"/>
    </xf>
    <xf numFmtId="3" fontId="45" fillId="25" borderId="2" xfId="34" applyNumberFormat="1" applyFont="1" applyFill="1" applyBorder="1" applyAlignment="1">
      <alignment horizontal="right" vertical="center" wrapText="1"/>
    </xf>
    <xf numFmtId="0" fontId="45" fillId="0" borderId="6" xfId="51" applyFont="1" applyBorder="1" applyAlignment="1">
      <alignment vertical="center" wrapText="1"/>
    </xf>
    <xf numFmtId="3" fontId="45" fillId="0" borderId="8" xfId="51" applyNumberFormat="1" applyFont="1" applyBorder="1" applyAlignment="1">
      <alignment horizontal="right" vertical="center" wrapText="1"/>
    </xf>
    <xf numFmtId="3" fontId="45" fillId="0" borderId="7" xfId="51" applyNumberFormat="1" applyFont="1" applyBorder="1" applyAlignment="1">
      <alignment horizontal="right" vertical="center" wrapText="1"/>
    </xf>
    <xf numFmtId="3" fontId="45" fillId="0" borderId="38" xfId="51" applyNumberFormat="1" applyFont="1" applyBorder="1" applyAlignment="1">
      <alignment horizontal="right" vertical="center" wrapText="1"/>
    </xf>
    <xf numFmtId="3" fontId="45" fillId="25" borderId="57" xfId="34" applyNumberFormat="1" applyFont="1" applyFill="1" applyBorder="1" applyAlignment="1">
      <alignment horizontal="right" vertical="center" wrapText="1"/>
    </xf>
    <xf numFmtId="0" fontId="45" fillId="0" borderId="0" xfId="54" applyFont="1" applyAlignment="1">
      <alignment horizontal="center" vertical="center"/>
    </xf>
    <xf numFmtId="0" fontId="45" fillId="0" borderId="0" xfId="54" applyFont="1" applyAlignment="1">
      <alignment vertical="center"/>
    </xf>
    <xf numFmtId="0" fontId="45" fillId="0" borderId="0" xfId="54" applyFont="1" applyAlignment="1">
      <alignment horizontal="justify" vertical="justify"/>
    </xf>
    <xf numFmtId="0" fontId="45" fillId="0" borderId="0" xfId="54" applyFont="1" applyAlignment="1">
      <alignment horizontal="center" vertical="center" wrapText="1"/>
    </xf>
    <xf numFmtId="0" fontId="46" fillId="0" borderId="37" xfId="54" applyFont="1" applyFill="1" applyBorder="1" applyAlignment="1">
      <alignment vertical="center"/>
    </xf>
    <xf numFmtId="0" fontId="46" fillId="0" borderId="0" xfId="54" applyFont="1" applyFill="1" applyBorder="1" applyAlignment="1">
      <alignment horizontal="center" vertical="center"/>
    </xf>
    <xf numFmtId="0" fontId="46" fillId="0" borderId="0" xfId="54" applyFont="1" applyFill="1" applyBorder="1" applyAlignment="1">
      <alignment vertical="center"/>
    </xf>
    <xf numFmtId="0" fontId="46" fillId="0" borderId="71" xfId="54" applyFont="1" applyFill="1" applyBorder="1" applyAlignment="1">
      <alignment horizontal="justify" vertical="justify"/>
    </xf>
    <xf numFmtId="3" fontId="49" fillId="0" borderId="2" xfId="52" applyNumberFormat="1" applyFont="1" applyFill="1" applyBorder="1" applyAlignment="1">
      <alignment horizontal="center" vertical="center" wrapText="1"/>
    </xf>
    <xf numFmtId="0" fontId="49" fillId="0" borderId="5" xfId="68" applyFont="1" applyFill="1" applyBorder="1" applyAlignment="1">
      <alignment horizontal="justify" vertical="center" wrapText="1"/>
    </xf>
    <xf numFmtId="3" fontId="49" fillId="0" borderId="4" xfId="54" applyNumberFormat="1" applyFont="1" applyFill="1" applyBorder="1" applyAlignment="1">
      <alignment vertical="center"/>
    </xf>
    <xf numFmtId="3" fontId="14" fillId="0" borderId="50" xfId="37" applyNumberFormat="1" applyFont="1" applyBorder="1" applyAlignment="1">
      <alignment vertical="center"/>
    </xf>
    <xf numFmtId="3" fontId="75" fillId="0" borderId="4" xfId="37" applyNumberFormat="1" applyFont="1" applyBorder="1" applyAlignment="1">
      <alignment vertical="center"/>
    </xf>
    <xf numFmtId="0" fontId="23" fillId="0" borderId="0" xfId="51" applyFont="1"/>
    <xf numFmtId="0" fontId="49" fillId="0" borderId="0" xfId="51" applyFont="1" applyAlignment="1">
      <alignment horizontal="center" vertical="center"/>
    </xf>
    <xf numFmtId="0" fontId="49" fillId="0" borderId="0" xfId="51" applyFont="1" applyAlignment="1">
      <alignment horizontal="center" vertical="center" wrapText="1"/>
    </xf>
    <xf numFmtId="0" fontId="48" fillId="0" borderId="0" xfId="51" applyFont="1" applyAlignment="1">
      <alignment horizontal="center" vertical="center" wrapText="1"/>
    </xf>
    <xf numFmtId="0" fontId="49" fillId="0" borderId="0" xfId="51" applyFont="1" applyAlignment="1">
      <alignment wrapText="1"/>
    </xf>
    <xf numFmtId="4" fontId="14" fillId="0" borderId="8" xfId="51" applyNumberFormat="1" applyFont="1" applyBorder="1" applyAlignment="1">
      <alignment vertical="center"/>
    </xf>
    <xf numFmtId="4" fontId="14" fillId="0" borderId="38" xfId="51" applyNumberFormat="1" applyFont="1" applyBorder="1" applyAlignment="1">
      <alignment vertical="center"/>
    </xf>
    <xf numFmtId="0" fontId="49" fillId="0" borderId="0" xfId="51" applyFont="1" applyAlignment="1">
      <alignment horizontal="left" vertical="center" wrapText="1"/>
    </xf>
    <xf numFmtId="4" fontId="49" fillId="0" borderId="0" xfId="51" applyNumberFormat="1" applyFont="1" applyAlignment="1">
      <alignment horizontal="center" vertical="center"/>
    </xf>
    <xf numFmtId="0" fontId="48" fillId="0" borderId="0" xfId="51" applyFont="1" applyAlignment="1">
      <alignment horizontal="center" vertical="center"/>
    </xf>
    <xf numFmtId="0" fontId="48" fillId="0" borderId="0" xfId="51" applyFont="1" applyAlignment="1">
      <alignment wrapText="1"/>
    </xf>
    <xf numFmtId="4" fontId="48" fillId="0" borderId="0" xfId="51" applyNumberFormat="1" applyFont="1" applyAlignment="1">
      <alignment horizontal="center" vertical="center"/>
    </xf>
    <xf numFmtId="0" fontId="49" fillId="0" borderId="0" xfId="51" applyFont="1" applyAlignment="1">
      <alignment vertical="center"/>
    </xf>
    <xf numFmtId="0" fontId="48" fillId="0" borderId="0" xfId="51" applyFont="1" applyAlignment="1">
      <alignment horizontal="left" vertical="center" wrapText="1"/>
    </xf>
    <xf numFmtId="10" fontId="48" fillId="0" borderId="0" xfId="51" applyNumberFormat="1" applyFont="1" applyAlignment="1">
      <alignment horizontal="center" vertical="center"/>
    </xf>
    <xf numFmtId="10" fontId="54" fillId="0" borderId="0" xfId="51" applyNumberFormat="1" applyFont="1" applyAlignment="1">
      <alignment horizontal="right" vertical="center"/>
    </xf>
    <xf numFmtId="0" fontId="49" fillId="0" borderId="0" xfId="51" applyFont="1" applyAlignment="1">
      <alignment horizontal="center"/>
    </xf>
    <xf numFmtId="3" fontId="49" fillId="0" borderId="0" xfId="51" applyNumberFormat="1" applyFont="1"/>
    <xf numFmtId="4" fontId="18" fillId="0" borderId="0" xfId="51" applyNumberFormat="1" applyFont="1"/>
    <xf numFmtId="167" fontId="48" fillId="0" borderId="0" xfId="51" applyNumberFormat="1" applyFont="1"/>
    <xf numFmtId="0" fontId="49" fillId="0" borderId="49" xfId="68" applyFont="1" applyFill="1" applyBorder="1" applyAlignment="1">
      <alignment vertical="center" wrapText="1"/>
    </xf>
    <xf numFmtId="0" fontId="49" fillId="0" borderId="4" xfId="52" applyFont="1" applyFill="1" applyBorder="1" applyAlignment="1">
      <alignment horizontal="center" vertical="center" wrapText="1"/>
    </xf>
    <xf numFmtId="3" fontId="49" fillId="0" borderId="9" xfId="0" applyNumberFormat="1" applyFont="1" applyFill="1" applyBorder="1" applyAlignment="1">
      <alignment vertical="center"/>
    </xf>
    <xf numFmtId="3" fontId="49" fillId="0" borderId="9" xfId="68" applyNumberFormat="1" applyFont="1" applyFill="1" applyBorder="1" applyAlignment="1">
      <alignment vertical="center"/>
    </xf>
    <xf numFmtId="3" fontId="49" fillId="0" borderId="4" xfId="68" applyNumberFormat="1" applyFont="1" applyFill="1" applyBorder="1" applyAlignment="1">
      <alignment horizontal="center" vertical="center" wrapText="1"/>
    </xf>
    <xf numFmtId="3" fontId="49" fillId="0" borderId="4" xfId="68" applyNumberFormat="1" applyFont="1" applyFill="1" applyBorder="1" applyAlignment="1">
      <alignment horizontal="center" vertical="center"/>
    </xf>
    <xf numFmtId="0" fontId="49" fillId="0" borderId="58" xfId="54" applyFont="1" applyFill="1" applyBorder="1" applyAlignment="1">
      <alignment horizontal="left" vertical="center" wrapText="1"/>
    </xf>
    <xf numFmtId="0" fontId="49" fillId="0" borderId="42" xfId="54" applyFont="1" applyFill="1" applyBorder="1" applyAlignment="1">
      <alignment horizontal="center" vertical="center" wrapText="1"/>
    </xf>
    <xf numFmtId="3" fontId="49" fillId="0" borderId="42" xfId="54" applyNumberFormat="1" applyFont="1" applyFill="1" applyBorder="1" applyAlignment="1">
      <alignment vertical="center"/>
    </xf>
    <xf numFmtId="3" fontId="49" fillId="0" borderId="43" xfId="54" applyNumberFormat="1" applyFont="1" applyFill="1" applyBorder="1" applyAlignment="1">
      <alignment horizontal="justify" vertical="center" wrapText="1"/>
    </xf>
    <xf numFmtId="0" fontId="49" fillId="0" borderId="3" xfId="52" applyFont="1" applyFill="1" applyBorder="1" applyAlignment="1">
      <alignment horizontal="justify" vertical="center" wrapText="1"/>
    </xf>
    <xf numFmtId="3" fontId="49" fillId="0" borderId="4" xfId="52" applyNumberFormat="1" applyFont="1" applyFill="1" applyBorder="1" applyAlignment="1">
      <alignment horizontal="center" vertical="center" wrapText="1"/>
    </xf>
    <xf numFmtId="0" fontId="49" fillId="0" borderId="45" xfId="52" applyFont="1" applyFill="1" applyBorder="1" applyAlignment="1">
      <alignment horizontal="justify" vertical="center" wrapText="1"/>
    </xf>
    <xf numFmtId="0" fontId="11" fillId="0" borderId="0" xfId="0" applyFont="1"/>
    <xf numFmtId="49" fontId="49" fillId="0" borderId="74" xfId="52" applyNumberFormat="1" applyFont="1" applyFill="1" applyBorder="1" applyAlignment="1">
      <alignment horizontal="left" vertical="center" wrapText="1"/>
    </xf>
    <xf numFmtId="49" fontId="49" fillId="0" borderId="88" xfId="52" applyNumberFormat="1" applyFont="1" applyFill="1" applyBorder="1" applyAlignment="1">
      <alignment horizontal="center" vertical="center" wrapText="1"/>
    </xf>
    <xf numFmtId="3" fontId="49" fillId="0" borderId="12" xfId="52" applyNumberFormat="1" applyFont="1" applyFill="1" applyBorder="1" applyAlignment="1">
      <alignment horizontal="right" vertical="center"/>
    </xf>
    <xf numFmtId="9" fontId="49" fillId="0" borderId="42" xfId="52" applyNumberFormat="1" applyFont="1" applyFill="1" applyBorder="1" applyAlignment="1">
      <alignment horizontal="center" vertical="center"/>
    </xf>
    <xf numFmtId="3" fontId="49" fillId="0" borderId="12" xfId="52" applyNumberFormat="1" applyFont="1" applyFill="1" applyBorder="1" applyAlignment="1">
      <alignment horizontal="center" vertical="center"/>
    </xf>
    <xf numFmtId="3" fontId="49" fillId="0" borderId="12" xfId="52" applyNumberFormat="1" applyFont="1" applyBorder="1" applyAlignment="1">
      <alignment vertical="center"/>
    </xf>
    <xf numFmtId="0" fontId="49" fillId="0" borderId="4" xfId="0" applyFont="1" applyFill="1" applyBorder="1" applyAlignment="1">
      <alignment horizontal="center" vertical="center" wrapText="1"/>
    </xf>
    <xf numFmtId="0" fontId="49" fillId="0" borderId="4" xfId="54" applyFont="1" applyBorder="1" applyAlignment="1">
      <alignment horizontal="center" vertical="center" wrapText="1"/>
    </xf>
    <xf numFmtId="0" fontId="49" fillId="0" borderId="49" xfId="52" applyFont="1" applyFill="1" applyBorder="1" applyAlignment="1">
      <alignment horizontal="justify" vertical="center" wrapText="1"/>
    </xf>
    <xf numFmtId="0" fontId="49" fillId="0" borderId="5" xfId="52" applyFont="1" applyFill="1" applyBorder="1" applyAlignment="1">
      <alignment horizontal="justify" vertical="center" wrapText="1"/>
    </xf>
    <xf numFmtId="0" fontId="49" fillId="0" borderId="61" xfId="0" applyFont="1" applyFill="1" applyBorder="1" applyAlignment="1">
      <alignment horizontal="left" vertical="center" wrapText="1"/>
    </xf>
    <xf numFmtId="0" fontId="49" fillId="0" borderId="66" xfId="0" applyFont="1" applyFill="1" applyBorder="1" applyAlignment="1">
      <alignment horizontal="center" vertical="center" wrapText="1"/>
    </xf>
    <xf numFmtId="3" fontId="49" fillId="0" borderId="8" xfId="68" applyNumberFormat="1" applyFont="1" applyFill="1" applyBorder="1" applyAlignment="1">
      <alignment vertical="center"/>
    </xf>
    <xf numFmtId="3" fontId="49" fillId="0" borderId="8" xfId="68" applyNumberFormat="1" applyFont="1" applyFill="1" applyBorder="1" applyAlignment="1">
      <alignment horizontal="center" vertical="center" wrapText="1"/>
    </xf>
    <xf numFmtId="0" fontId="48" fillId="0" borderId="1" xfId="52" applyFont="1" applyFill="1" applyBorder="1" applyAlignment="1">
      <alignment horizontal="left" vertical="center"/>
    </xf>
    <xf numFmtId="3" fontId="49" fillId="0" borderId="10" xfId="52" applyNumberFormat="1" applyFont="1" applyFill="1" applyBorder="1" applyAlignment="1">
      <alignment horizontal="center" vertical="center" wrapText="1"/>
    </xf>
    <xf numFmtId="0" fontId="14" fillId="0" borderId="14" xfId="37" applyFont="1" applyBorder="1" applyAlignment="1">
      <alignment horizontal="center" vertical="center"/>
    </xf>
    <xf numFmtId="3" fontId="14" fillId="0" borderId="57" xfId="37" applyNumberFormat="1" applyFont="1" applyBorder="1" applyAlignment="1">
      <alignment vertical="center"/>
    </xf>
    <xf numFmtId="0" fontId="14" fillId="27" borderId="50" xfId="37" applyFont="1" applyFill="1" applyBorder="1" applyAlignment="1">
      <alignment horizontal="center" vertical="center" wrapText="1"/>
    </xf>
    <xf numFmtId="3" fontId="14" fillId="0" borderId="75" xfId="37" applyNumberFormat="1" applyFont="1" applyBorder="1" applyAlignment="1">
      <alignment vertical="center"/>
    </xf>
    <xf numFmtId="3" fontId="75" fillId="0" borderId="50" xfId="37" applyNumberFormat="1" applyFont="1" applyBorder="1" applyAlignment="1">
      <alignment vertical="center"/>
    </xf>
    <xf numFmtId="4" fontId="49" fillId="0" borderId="45" xfId="52" applyNumberFormat="1" applyFont="1" applyBorder="1" applyAlignment="1">
      <alignment horizontal="justify" vertical="center" wrapText="1"/>
    </xf>
    <xf numFmtId="0" fontId="48" fillId="27" borderId="48" xfId="34" applyFont="1" applyFill="1" applyBorder="1" applyAlignment="1" applyProtection="1">
      <alignment horizontal="center" vertical="center" wrapText="1"/>
      <protection locked="0"/>
    </xf>
    <xf numFmtId="0" fontId="48" fillId="27" borderId="75" xfId="34" applyFont="1" applyFill="1" applyBorder="1" applyAlignment="1" applyProtection="1">
      <alignment horizontal="center" vertical="center" wrapText="1"/>
      <protection locked="0"/>
    </xf>
    <xf numFmtId="4" fontId="14" fillId="0" borderId="8" xfId="51" applyNumberFormat="1" applyFont="1" applyBorder="1" applyAlignment="1">
      <alignment horizontal="right" vertical="center"/>
    </xf>
    <xf numFmtId="4" fontId="14" fillId="0" borderId="38" xfId="51" applyNumberFormat="1" applyFont="1" applyBorder="1" applyAlignment="1">
      <alignment horizontal="right" vertical="center"/>
    </xf>
    <xf numFmtId="0" fontId="49" fillId="0" borderId="0" xfId="0" applyFont="1"/>
    <xf numFmtId="0" fontId="49" fillId="0" borderId="61" xfId="52" applyFont="1" applyBorder="1" applyAlignment="1">
      <alignment horizontal="justify" vertical="center" wrapText="1"/>
    </xf>
    <xf numFmtId="0" fontId="14" fillId="0" borderId="56" xfId="37" applyFont="1" applyFill="1" applyBorder="1" applyAlignment="1">
      <alignment horizontal="center" vertical="center" wrapText="1"/>
    </xf>
    <xf numFmtId="0" fontId="43" fillId="0" borderId="57" xfId="51" applyFont="1" applyFill="1" applyBorder="1" applyAlignment="1">
      <alignment horizontal="center" vertical="center" wrapText="1"/>
    </xf>
    <xf numFmtId="0" fontId="43" fillId="0" borderId="43" xfId="51" applyFont="1" applyFill="1" applyBorder="1" applyAlignment="1">
      <alignment horizontal="center" vertical="center" wrapText="1"/>
    </xf>
    <xf numFmtId="9" fontId="49" fillId="0" borderId="4" xfId="52" applyNumberFormat="1" applyFont="1" applyFill="1" applyBorder="1" applyAlignment="1">
      <alignment horizontal="center" vertical="center"/>
    </xf>
    <xf numFmtId="3" fontId="48" fillId="25" borderId="17" xfId="52" applyNumberFormat="1" applyFont="1" applyFill="1" applyBorder="1" applyAlignment="1">
      <alignment horizontal="right" vertical="center" wrapText="1"/>
    </xf>
    <xf numFmtId="3" fontId="48" fillId="25" borderId="17" xfId="52" applyNumberFormat="1" applyFont="1" applyFill="1" applyBorder="1" applyAlignment="1">
      <alignment vertical="center" wrapText="1"/>
    </xf>
    <xf numFmtId="3" fontId="49" fillId="0" borderId="89" xfId="54" applyNumberFormat="1" applyFont="1" applyFill="1" applyBorder="1" applyAlignment="1">
      <alignment vertical="center"/>
    </xf>
    <xf numFmtId="0" fontId="49" fillId="0" borderId="74" xfId="56" applyFont="1" applyFill="1" applyBorder="1" applyAlignment="1" applyProtection="1">
      <alignment horizontal="left" vertical="center" wrapText="1"/>
    </xf>
    <xf numFmtId="0" fontId="49" fillId="0" borderId="12" xfId="56" applyFont="1" applyFill="1" applyBorder="1" applyAlignment="1" applyProtection="1">
      <alignment horizontal="center" vertical="center" wrapText="1"/>
    </xf>
    <xf numFmtId="3" fontId="49" fillId="0" borderId="90" xfId="54" applyNumberFormat="1" applyFont="1" applyFill="1" applyBorder="1" applyAlignment="1">
      <alignment vertical="center"/>
    </xf>
    <xf numFmtId="3" fontId="49" fillId="0" borderId="91" xfId="54" applyNumberFormat="1" applyFont="1" applyFill="1" applyBorder="1" applyAlignment="1">
      <alignment horizontal="right" vertical="center"/>
    </xf>
    <xf numFmtId="3" fontId="49" fillId="0" borderId="71" xfId="54" applyNumberFormat="1" applyFont="1" applyFill="1" applyBorder="1" applyAlignment="1">
      <alignment horizontal="justify" vertical="center" wrapText="1"/>
    </xf>
    <xf numFmtId="3" fontId="49" fillId="0" borderId="42" xfId="52" applyNumberFormat="1" applyFont="1" applyFill="1" applyBorder="1" applyAlignment="1">
      <alignment horizontal="right" vertical="center" wrapText="1"/>
    </xf>
    <xf numFmtId="3" fontId="49" fillId="0" borderId="42" xfId="52" applyNumberFormat="1" applyFont="1" applyFill="1" applyBorder="1" applyAlignment="1" applyProtection="1">
      <alignment horizontal="right" vertical="center" wrapText="1"/>
      <protection locked="0"/>
    </xf>
    <xf numFmtId="3" fontId="49" fillId="0" borderId="8" xfId="52" applyNumberFormat="1" applyFont="1" applyFill="1" applyBorder="1" applyAlignment="1">
      <alignment vertical="center"/>
    </xf>
    <xf numFmtId="3" fontId="49" fillId="0" borderId="2" xfId="68" applyNumberFormat="1" applyFont="1" applyFill="1" applyBorder="1" applyAlignment="1">
      <alignment vertical="center"/>
    </xf>
    <xf numFmtId="3" fontId="49" fillId="0" borderId="10" xfId="68" applyNumberFormat="1" applyFont="1" applyFill="1" applyBorder="1" applyAlignment="1">
      <alignment vertical="center"/>
    </xf>
    <xf numFmtId="3" fontId="49" fillId="0" borderId="4" xfId="0" applyNumberFormat="1" applyFont="1" applyFill="1" applyBorder="1" applyAlignment="1">
      <alignment vertical="center"/>
    </xf>
    <xf numFmtId="3" fontId="49" fillId="0" borderId="8" xfId="52" applyNumberFormat="1" applyFont="1" applyFill="1" applyBorder="1" applyAlignment="1">
      <alignment horizontal="right" vertical="center" wrapText="1"/>
    </xf>
    <xf numFmtId="3" fontId="49" fillId="0" borderId="2" xfId="52" applyNumberFormat="1" applyFont="1" applyFill="1" applyBorder="1" applyAlignment="1">
      <alignment horizontal="right" vertical="center" wrapText="1"/>
    </xf>
    <xf numFmtId="3" fontId="49" fillId="0" borderId="2" xfId="52" applyNumberFormat="1" applyFont="1" applyBorder="1" applyAlignment="1">
      <alignment vertical="center"/>
    </xf>
    <xf numFmtId="49" fontId="48" fillId="25" borderId="43" xfId="55" applyNumberFormat="1" applyFont="1" applyFill="1" applyBorder="1" applyAlignment="1">
      <alignment horizontal="center" vertical="center" wrapText="1"/>
    </xf>
    <xf numFmtId="3" fontId="49" fillId="0" borderId="2" xfId="52" applyNumberFormat="1" applyFont="1" applyFill="1" applyBorder="1" applyAlignment="1">
      <alignment vertical="center"/>
    </xf>
    <xf numFmtId="3" fontId="49" fillId="0" borderId="5" xfId="52" applyNumberFormat="1" applyFont="1" applyFill="1" applyBorder="1" applyAlignment="1">
      <alignment vertical="center"/>
    </xf>
    <xf numFmtId="3" fontId="49" fillId="0" borderId="26" xfId="52" applyNumberFormat="1" applyFont="1" applyFill="1" applyBorder="1" applyAlignment="1">
      <alignment vertical="center"/>
    </xf>
    <xf numFmtId="3" fontId="49" fillId="0" borderId="11" xfId="52" applyNumberFormat="1" applyFont="1" applyFill="1" applyBorder="1" applyAlignment="1">
      <alignment vertical="center"/>
    </xf>
    <xf numFmtId="0" fontId="48" fillId="0" borderId="0" xfId="54" applyFont="1" applyAlignment="1">
      <alignment horizontal="right" vertical="center"/>
    </xf>
    <xf numFmtId="0" fontId="57" fillId="0" borderId="0" xfId="34" applyFont="1" applyFill="1" applyAlignment="1"/>
    <xf numFmtId="0" fontId="39" fillId="0" borderId="0" xfId="34" applyFont="1" applyFill="1" applyAlignment="1"/>
    <xf numFmtId="0" fontId="13" fillId="0" borderId="0" xfId="0" applyFont="1" applyAlignment="1">
      <alignment horizontal="center" vertical="center"/>
    </xf>
    <xf numFmtId="0" fontId="13" fillId="0" borderId="0" xfId="0" applyFont="1" applyAlignment="1">
      <alignment horizontal="center"/>
    </xf>
    <xf numFmtId="0" fontId="41" fillId="0" borderId="0" xfId="1" applyFont="1" applyAlignment="1">
      <alignment horizontal="center" vertical="center" wrapText="1"/>
    </xf>
    <xf numFmtId="49" fontId="37" fillId="0" borderId="35" xfId="1" applyNumberFormat="1" applyFont="1" applyBorder="1" applyAlignment="1">
      <alignment horizontal="center" vertical="center" wrapText="1"/>
    </xf>
    <xf numFmtId="49" fontId="37" fillId="0" borderId="19" xfId="1" applyNumberFormat="1" applyFont="1" applyBorder="1" applyAlignment="1">
      <alignment horizontal="center" vertical="center" wrapText="1"/>
    </xf>
    <xf numFmtId="3" fontId="37" fillId="0" borderId="32" xfId="1" applyNumberFormat="1" applyFont="1" applyBorder="1" applyAlignment="1">
      <alignment horizontal="center" vertical="center" wrapText="1"/>
    </xf>
    <xf numFmtId="3" fontId="37" fillId="0" borderId="22" xfId="1" applyNumberFormat="1" applyFont="1" applyBorder="1" applyAlignment="1">
      <alignment horizontal="center" vertical="center" wrapText="1"/>
    </xf>
    <xf numFmtId="3" fontId="37" fillId="0" borderId="31" xfId="1" applyNumberFormat="1" applyFont="1" applyBorder="1" applyAlignment="1">
      <alignment horizontal="center" vertical="center" wrapText="1"/>
    </xf>
    <xf numFmtId="3" fontId="37" fillId="0" borderId="23" xfId="1" applyNumberFormat="1" applyFont="1" applyBorder="1" applyAlignment="1">
      <alignment horizontal="center" vertical="center" wrapText="1"/>
    </xf>
    <xf numFmtId="3" fontId="37" fillId="0" borderId="34" xfId="1" applyNumberFormat="1" applyFont="1" applyBorder="1" applyAlignment="1">
      <alignment horizontal="center" vertical="center" wrapText="1"/>
    </xf>
    <xf numFmtId="3" fontId="37" fillId="0" borderId="21" xfId="1" applyNumberFormat="1" applyFont="1" applyBorder="1" applyAlignment="1">
      <alignment horizontal="center" vertical="center" wrapText="1"/>
    </xf>
    <xf numFmtId="0" fontId="16" fillId="0" borderId="33" xfId="1" applyFont="1" applyBorder="1" applyAlignment="1">
      <alignment horizontal="center" vertical="center" wrapText="1"/>
    </xf>
    <xf numFmtId="0" fontId="14" fillId="0" borderId="20" xfId="1" applyFont="1" applyBorder="1" applyAlignment="1">
      <alignment horizontal="center"/>
    </xf>
    <xf numFmtId="0" fontId="42" fillId="0" borderId="39" xfId="51" applyFont="1" applyBorder="1" applyAlignment="1">
      <alignment horizontal="center" vertical="center" wrapText="1"/>
    </xf>
    <xf numFmtId="0" fontId="43" fillId="0" borderId="33" xfId="51" applyFont="1" applyFill="1" applyBorder="1" applyAlignment="1">
      <alignment horizontal="center" vertical="center"/>
    </xf>
    <xf numFmtId="0" fontId="43" fillId="0" borderId="20" xfId="51" applyFont="1" applyFill="1" applyBorder="1" applyAlignment="1">
      <alignment horizontal="center" vertical="center"/>
    </xf>
    <xf numFmtId="0" fontId="44" fillId="27" borderId="32" xfId="51" applyFont="1" applyFill="1" applyBorder="1" applyAlignment="1">
      <alignment horizontal="center" vertical="center"/>
    </xf>
    <xf numFmtId="0" fontId="44" fillId="27" borderId="22" xfId="51" applyFont="1" applyFill="1" applyBorder="1" applyAlignment="1">
      <alignment horizontal="center" vertical="center"/>
    </xf>
    <xf numFmtId="165" fontId="43" fillId="0" borderId="25" xfId="51" applyNumberFormat="1" applyFont="1" applyFill="1" applyBorder="1" applyAlignment="1">
      <alignment horizontal="center" vertical="center" wrapText="1"/>
    </xf>
    <xf numFmtId="165" fontId="43" fillId="0" borderId="40" xfId="51" applyNumberFormat="1" applyFont="1" applyFill="1" applyBorder="1" applyAlignment="1">
      <alignment horizontal="center" vertical="center" wrapText="1"/>
    </xf>
    <xf numFmtId="165" fontId="43" fillId="0" borderId="41" xfId="51" applyNumberFormat="1" applyFont="1" applyFill="1" applyBorder="1" applyAlignment="1">
      <alignment horizontal="center" vertical="center" wrapText="1"/>
    </xf>
    <xf numFmtId="0" fontId="48" fillId="0" borderId="1" xfId="52" applyFont="1" applyFill="1" applyBorder="1" applyAlignment="1">
      <alignment horizontal="left" vertical="center" wrapText="1"/>
    </xf>
    <xf numFmtId="0" fontId="48" fillId="0" borderId="72" xfId="52" applyFont="1" applyFill="1" applyBorder="1" applyAlignment="1">
      <alignment horizontal="left" vertical="center" wrapText="1"/>
    </xf>
    <xf numFmtId="0" fontId="48" fillId="0" borderId="73" xfId="52" applyFont="1" applyFill="1" applyBorder="1" applyAlignment="1">
      <alignment horizontal="left" vertical="center" wrapText="1"/>
    </xf>
    <xf numFmtId="0" fontId="48" fillId="0" borderId="56" xfId="52" applyFont="1" applyFill="1" applyBorder="1" applyAlignment="1">
      <alignment horizontal="left" vertical="center" wrapText="1"/>
    </xf>
    <xf numFmtId="0" fontId="48" fillId="0" borderId="40" xfId="52" applyFont="1" applyFill="1" applyBorder="1" applyAlignment="1">
      <alignment horizontal="left" vertical="center" wrapText="1"/>
    </xf>
    <xf numFmtId="0" fontId="48" fillId="0" borderId="41" xfId="52" applyFont="1" applyFill="1" applyBorder="1" applyAlignment="1">
      <alignment horizontal="left" vertical="center" wrapText="1"/>
    </xf>
    <xf numFmtId="0" fontId="13" fillId="0" borderId="0" xfId="52" applyFont="1" applyAlignment="1">
      <alignment horizontal="center" vertical="center" wrapText="1"/>
    </xf>
    <xf numFmtId="0" fontId="11" fillId="0" borderId="0" xfId="54" applyFont="1" applyAlignment="1">
      <alignment horizontal="center" vertical="center" wrapText="1"/>
    </xf>
    <xf numFmtId="0" fontId="48" fillId="25" borderId="47" xfId="52" applyFont="1" applyFill="1" applyBorder="1" applyAlignment="1">
      <alignment horizontal="center" vertical="center" wrapText="1"/>
    </xf>
    <xf numFmtId="0" fontId="48" fillId="25" borderId="58" xfId="52" applyFont="1" applyFill="1" applyBorder="1" applyAlignment="1">
      <alignment horizontal="center" vertical="center" wrapText="1"/>
    </xf>
    <xf numFmtId="4" fontId="48" fillId="25" borderId="32" xfId="52" applyNumberFormat="1" applyFont="1" applyFill="1" applyBorder="1" applyAlignment="1">
      <alignment horizontal="center" vertical="center" wrapText="1"/>
    </xf>
    <xf numFmtId="4" fontId="48" fillId="25" borderId="22" xfId="52" applyNumberFormat="1" applyFont="1" applyFill="1" applyBorder="1" applyAlignment="1">
      <alignment horizontal="center" vertical="center" wrapText="1"/>
    </xf>
    <xf numFmtId="4" fontId="48" fillId="25" borderId="24" xfId="34" applyNumberFormat="1" applyFont="1" applyFill="1" applyBorder="1" applyAlignment="1">
      <alignment horizontal="center" vertical="center" wrapText="1"/>
    </xf>
    <xf numFmtId="0" fontId="51" fillId="0" borderId="24" xfId="34" applyFont="1" applyBorder="1" applyAlignment="1">
      <alignment vertical="center"/>
    </xf>
    <xf numFmtId="0" fontId="11" fillId="0" borderId="24" xfId="34" applyFont="1" applyBorder="1" applyAlignment="1">
      <alignment vertical="center"/>
    </xf>
    <xf numFmtId="0" fontId="11" fillId="0" borderId="24" xfId="54" applyFont="1" applyBorder="1" applyAlignment="1">
      <alignment vertical="center"/>
    </xf>
    <xf numFmtId="49" fontId="48" fillId="25" borderId="34" xfId="55" applyNumberFormat="1" applyFont="1" applyFill="1" applyBorder="1" applyAlignment="1">
      <alignment horizontal="center" vertical="center" wrapText="1"/>
    </xf>
    <xf numFmtId="0" fontId="52" fillId="0" borderId="21" xfId="65" applyFont="1" applyBorder="1" applyAlignment="1">
      <alignment horizontal="center" vertical="center" wrapText="1"/>
    </xf>
    <xf numFmtId="0" fontId="48" fillId="0" borderId="1" xfId="52" applyFont="1" applyFill="1" applyBorder="1" applyAlignment="1">
      <alignment horizontal="left" vertical="center"/>
    </xf>
    <xf numFmtId="0" fontId="48" fillId="0" borderId="72" xfId="52" applyFont="1" applyFill="1" applyBorder="1" applyAlignment="1">
      <alignment horizontal="left" vertical="center"/>
    </xf>
    <xf numFmtId="0" fontId="48" fillId="0" borderId="73" xfId="52" applyFont="1" applyFill="1" applyBorder="1" applyAlignment="1">
      <alignment horizontal="left" vertical="center"/>
    </xf>
    <xf numFmtId="0" fontId="48" fillId="0" borderId="1" xfId="52" applyFont="1" applyBorder="1" applyAlignment="1">
      <alignment horizontal="left" vertical="center" wrapText="1"/>
    </xf>
    <xf numFmtId="0" fontId="48" fillId="0" borderId="72" xfId="52" applyFont="1" applyBorder="1" applyAlignment="1">
      <alignment horizontal="left" vertical="center" wrapText="1"/>
    </xf>
    <xf numFmtId="0" fontId="48" fillId="0" borderId="73" xfId="52" applyFont="1" applyBorder="1" applyAlignment="1">
      <alignment horizontal="left" vertical="center" wrapText="1"/>
    </xf>
    <xf numFmtId="0" fontId="13" fillId="0" borderId="0" xfId="54" applyFont="1" applyFill="1" applyAlignment="1">
      <alignment horizontal="center" vertical="center" wrapText="1"/>
    </xf>
    <xf numFmtId="0" fontId="48" fillId="25" borderId="32" xfId="52" applyFont="1" applyFill="1" applyBorder="1" applyAlignment="1">
      <alignment horizontal="center" vertical="center" wrapText="1"/>
    </xf>
    <xf numFmtId="0" fontId="74" fillId="0" borderId="22" xfId="62" applyFont="1" applyBorder="1" applyAlignment="1">
      <alignment horizontal="center" vertical="center" wrapText="1"/>
    </xf>
    <xf numFmtId="0" fontId="73" fillId="0" borderId="24" xfId="34" applyFont="1" applyBorder="1" applyAlignment="1">
      <alignment vertical="center"/>
    </xf>
    <xf numFmtId="0" fontId="56" fillId="0" borderId="24" xfId="34" applyFont="1" applyBorder="1" applyAlignment="1">
      <alignment vertical="center"/>
    </xf>
    <xf numFmtId="0" fontId="56" fillId="0" borderId="24" xfId="54" applyFont="1" applyBorder="1" applyAlignment="1">
      <alignment vertical="center"/>
    </xf>
    <xf numFmtId="0" fontId="74" fillId="0" borderId="21" xfId="62" applyFont="1" applyBorder="1" applyAlignment="1">
      <alignment horizontal="center" vertical="center" wrapText="1"/>
    </xf>
    <xf numFmtId="0" fontId="72" fillId="0" borderId="0" xfId="54" applyFont="1" applyFill="1" applyAlignment="1">
      <alignment horizontal="left" wrapText="1"/>
    </xf>
    <xf numFmtId="0" fontId="48" fillId="0" borderId="56" xfId="54" applyFont="1" applyFill="1" applyBorder="1" applyAlignment="1">
      <alignment horizontal="left" vertical="center" wrapText="1"/>
    </xf>
    <xf numFmtId="0" fontId="48" fillId="0" borderId="40" xfId="54" applyFont="1" applyFill="1" applyBorder="1" applyAlignment="1">
      <alignment horizontal="left" vertical="center" wrapText="1"/>
    </xf>
    <xf numFmtId="0" fontId="48" fillId="0" borderId="41" xfId="54" applyFont="1" applyFill="1" applyBorder="1" applyAlignment="1">
      <alignment horizontal="left" vertical="center" wrapText="1"/>
    </xf>
    <xf numFmtId="0" fontId="48" fillId="0" borderId="35" xfId="54" applyFont="1" applyFill="1" applyBorder="1" applyAlignment="1">
      <alignment horizontal="left" vertical="center" wrapText="1"/>
    </xf>
    <xf numFmtId="0" fontId="48" fillId="0" borderId="59" xfId="54" applyFont="1" applyFill="1" applyBorder="1" applyAlignment="1">
      <alignment horizontal="left" vertical="center" wrapText="1"/>
    </xf>
    <xf numFmtId="0" fontId="48" fillId="0" borderId="60" xfId="54" applyFont="1" applyFill="1" applyBorder="1" applyAlignment="1">
      <alignment horizontal="left" vertical="center" wrapText="1"/>
    </xf>
    <xf numFmtId="0" fontId="48" fillId="0" borderId="1" xfId="52" applyFont="1" applyBorder="1" applyAlignment="1">
      <alignment horizontal="left" vertical="center"/>
    </xf>
    <xf numFmtId="0" fontId="48" fillId="0" borderId="72" xfId="52" applyFont="1" applyBorder="1" applyAlignment="1">
      <alignment horizontal="left" vertical="center"/>
    </xf>
    <xf numFmtId="0" fontId="48" fillId="0" borderId="73" xfId="52" applyFont="1" applyBorder="1" applyAlignment="1">
      <alignment horizontal="left" vertical="center"/>
    </xf>
    <xf numFmtId="0" fontId="52" fillId="0" borderId="22" xfId="68" applyFont="1" applyBorder="1" applyAlignment="1">
      <alignment horizontal="center" vertical="center" wrapText="1"/>
    </xf>
    <xf numFmtId="0" fontId="48" fillId="25" borderId="24" xfId="52" applyFont="1" applyFill="1" applyBorder="1" applyAlignment="1">
      <alignment horizontal="center" vertical="center" wrapText="1"/>
    </xf>
    <xf numFmtId="0" fontId="48" fillId="25" borderId="42" xfId="52" applyFont="1" applyFill="1" applyBorder="1" applyAlignment="1">
      <alignment horizontal="center" vertical="center" wrapText="1"/>
    </xf>
    <xf numFmtId="0" fontId="48" fillId="25" borderId="25" xfId="52" applyFont="1" applyFill="1" applyBorder="1" applyAlignment="1">
      <alignment horizontal="center" vertical="center" wrapText="1"/>
    </xf>
    <xf numFmtId="0" fontId="48" fillId="25" borderId="57" xfId="52" applyFont="1" applyFill="1" applyBorder="1" applyAlignment="1">
      <alignment horizontal="center" vertical="center" wrapText="1"/>
    </xf>
    <xf numFmtId="0" fontId="48" fillId="25" borderId="36" xfId="52" applyFont="1" applyFill="1" applyBorder="1" applyAlignment="1">
      <alignment horizontal="center" vertical="center" wrapText="1"/>
    </xf>
    <xf numFmtId="0" fontId="48" fillId="25" borderId="43" xfId="52" applyFont="1" applyFill="1" applyBorder="1" applyAlignment="1">
      <alignment horizontal="center" vertical="center" wrapText="1"/>
    </xf>
    <xf numFmtId="0" fontId="48" fillId="0" borderId="56" xfId="52" applyFont="1" applyBorder="1" applyAlignment="1">
      <alignment horizontal="left" vertical="center"/>
    </xf>
    <xf numFmtId="0" fontId="48" fillId="0" borderId="40" xfId="52" applyFont="1" applyBorder="1" applyAlignment="1">
      <alignment horizontal="left" vertical="center"/>
    </xf>
    <xf numFmtId="0" fontId="48" fillId="0" borderId="41" xfId="52" applyFont="1" applyBorder="1" applyAlignment="1">
      <alignment horizontal="left" vertical="center"/>
    </xf>
    <xf numFmtId="0" fontId="48" fillId="0" borderId="56" xfId="52" applyFont="1" applyBorder="1" applyAlignment="1">
      <alignment horizontal="left" vertical="center" wrapText="1"/>
    </xf>
    <xf numFmtId="0" fontId="48" fillId="0" borderId="40" xfId="52" applyFont="1" applyBorder="1" applyAlignment="1">
      <alignment horizontal="left" vertical="center" wrapText="1"/>
    </xf>
    <xf numFmtId="0" fontId="48" fillId="0" borderId="41" xfId="52" applyFont="1" applyBorder="1" applyAlignment="1">
      <alignment horizontal="left" vertical="center" wrapText="1"/>
    </xf>
    <xf numFmtId="0" fontId="48" fillId="0" borderId="37" xfId="52" applyFont="1" applyBorder="1" applyAlignment="1">
      <alignment horizontal="left" vertical="center"/>
    </xf>
    <xf numFmtId="0" fontId="48" fillId="0" borderId="0" xfId="52" applyFont="1" applyAlignment="1">
      <alignment horizontal="left" vertical="center"/>
    </xf>
    <xf numFmtId="0" fontId="48" fillId="0" borderId="71" xfId="52" applyFont="1" applyBorder="1" applyAlignment="1">
      <alignment horizontal="left" vertical="center"/>
    </xf>
    <xf numFmtId="0" fontId="52" fillId="0" borderId="42" xfId="68" applyFont="1" applyBorder="1" applyAlignment="1">
      <alignment horizontal="center" vertical="center" wrapText="1"/>
    </xf>
    <xf numFmtId="4" fontId="48" fillId="25" borderId="24" xfId="52" applyNumberFormat="1" applyFont="1" applyFill="1" applyBorder="1" applyAlignment="1">
      <alignment horizontal="center" vertical="center" wrapText="1"/>
    </xf>
    <xf numFmtId="4" fontId="48" fillId="25" borderId="42" xfId="52" applyNumberFormat="1" applyFont="1" applyFill="1" applyBorder="1" applyAlignment="1">
      <alignment horizontal="center" vertical="center" wrapText="1"/>
    </xf>
    <xf numFmtId="0" fontId="11" fillId="0" borderId="0" xfId="35" applyFont="1" applyAlignment="1">
      <alignment vertical="center"/>
    </xf>
    <xf numFmtId="0" fontId="48" fillId="27" borderId="47" xfId="34" applyFont="1" applyFill="1" applyBorder="1" applyAlignment="1" applyProtection="1">
      <alignment horizontal="center" vertical="center" wrapText="1"/>
      <protection locked="0"/>
    </xf>
    <xf numFmtId="0" fontId="48" fillId="27" borderId="58" xfId="34" applyFont="1" applyFill="1" applyBorder="1" applyAlignment="1" applyProtection="1">
      <alignment horizontal="center" vertical="center" wrapText="1"/>
      <protection locked="0"/>
    </xf>
    <xf numFmtId="4" fontId="48" fillId="27" borderId="24" xfId="34" applyNumberFormat="1" applyFont="1" applyFill="1" applyBorder="1" applyAlignment="1" applyProtection="1">
      <alignment horizontal="center" vertical="center" wrapText="1"/>
      <protection locked="0"/>
    </xf>
    <xf numFmtId="4" fontId="48" fillId="27" borderId="42" xfId="34" applyNumberFormat="1" applyFont="1" applyFill="1" applyBorder="1" applyAlignment="1" applyProtection="1">
      <alignment horizontal="center" vertical="center" wrapText="1"/>
      <protection locked="0"/>
    </xf>
    <xf numFmtId="4" fontId="48" fillId="27" borderId="32" xfId="34" applyNumberFormat="1" applyFont="1" applyFill="1" applyBorder="1" applyAlignment="1" applyProtection="1">
      <alignment horizontal="center" vertical="center" wrapText="1"/>
      <protection locked="0"/>
    </xf>
    <xf numFmtId="4" fontId="48" fillId="27" borderId="22" xfId="34" applyNumberFormat="1" applyFont="1" applyFill="1" applyBorder="1" applyAlignment="1" applyProtection="1">
      <alignment horizontal="center" vertical="center" wrapText="1"/>
      <protection locked="0"/>
    </xf>
    <xf numFmtId="4" fontId="48" fillId="25" borderId="24" xfId="34" applyNumberFormat="1" applyFont="1" applyFill="1" applyBorder="1" applyAlignment="1" applyProtection="1">
      <alignment horizontal="center" vertical="center"/>
      <protection locked="0"/>
    </xf>
    <xf numFmtId="4" fontId="48" fillId="25" borderId="25" xfId="34" applyNumberFormat="1" applyFont="1" applyFill="1" applyBorder="1" applyAlignment="1" applyProtection="1">
      <alignment horizontal="center" vertical="center"/>
      <protection locked="0"/>
    </xf>
    <xf numFmtId="4" fontId="48" fillId="25" borderId="36" xfId="34" applyNumberFormat="1" applyFont="1" applyFill="1" applyBorder="1" applyAlignment="1" applyProtection="1">
      <alignment horizontal="center" vertical="center"/>
      <protection locked="0"/>
    </xf>
    <xf numFmtId="0" fontId="13" fillId="0" borderId="0" xfId="37" applyFont="1" applyAlignment="1">
      <alignment horizontal="center" vertical="center"/>
    </xf>
    <xf numFmtId="0" fontId="50" fillId="0" borderId="0" xfId="37" applyFont="1" applyAlignment="1">
      <alignment horizontal="center"/>
    </xf>
    <xf numFmtId="0" fontId="16" fillId="0" borderId="47" xfId="37" applyFont="1" applyFill="1" applyBorder="1" applyAlignment="1">
      <alignment horizontal="center" vertical="center" wrapText="1"/>
    </xf>
    <xf numFmtId="0" fontId="16" fillId="0" borderId="24" xfId="37" applyFont="1" applyFill="1" applyBorder="1" applyAlignment="1">
      <alignment horizontal="center" vertical="center"/>
    </xf>
    <xf numFmtId="0" fontId="16" fillId="0" borderId="36" xfId="37" applyFont="1" applyFill="1" applyBorder="1" applyAlignment="1">
      <alignment horizontal="center" vertical="center"/>
    </xf>
    <xf numFmtId="0" fontId="16" fillId="0" borderId="56" xfId="37" applyFont="1" applyFill="1" applyBorder="1" applyAlignment="1">
      <alignment horizontal="center" vertical="center" wrapText="1"/>
    </xf>
    <xf numFmtId="0" fontId="16" fillId="0" borderId="40" xfId="37" applyFont="1" applyFill="1" applyBorder="1" applyAlignment="1">
      <alignment horizontal="center" vertical="center" wrapText="1"/>
    </xf>
    <xf numFmtId="0" fontId="16" fillId="0" borderId="41" xfId="37" applyFont="1" applyFill="1" applyBorder="1" applyAlignment="1">
      <alignment horizontal="center" vertical="center" wrapText="1"/>
    </xf>
    <xf numFmtId="0" fontId="14" fillId="0" borderId="40" xfId="37" applyFont="1" applyFill="1" applyBorder="1" applyAlignment="1">
      <alignment horizontal="center" vertical="center"/>
    </xf>
    <xf numFmtId="0" fontId="14" fillId="0" borderId="41" xfId="37" applyFont="1" applyFill="1" applyBorder="1" applyAlignment="1">
      <alignment horizontal="center" vertical="center"/>
    </xf>
    <xf numFmtId="0" fontId="16" fillId="25" borderId="55" xfId="51" applyFont="1" applyFill="1" applyBorder="1" applyAlignment="1">
      <alignment vertical="center" wrapText="1"/>
    </xf>
    <xf numFmtId="0" fontId="56" fillId="25" borderId="18" xfId="51" applyFont="1" applyFill="1" applyBorder="1" applyAlignment="1">
      <alignment vertical="center" wrapText="1"/>
    </xf>
    <xf numFmtId="0" fontId="14" fillId="0" borderId="47" xfId="51" applyFont="1" applyBorder="1" applyAlignment="1">
      <alignment vertical="center" wrapText="1"/>
    </xf>
    <xf numFmtId="0" fontId="14" fillId="0" borderId="24" xfId="51" applyFont="1" applyBorder="1" applyAlignment="1">
      <alignment vertical="center" wrapText="1"/>
    </xf>
    <xf numFmtId="0" fontId="16" fillId="0" borderId="58" xfId="51" applyFont="1" applyBorder="1" applyAlignment="1">
      <alignment vertical="center" wrapText="1"/>
    </xf>
    <xf numFmtId="0" fontId="16" fillId="0" borderId="42" xfId="51" applyFont="1" applyBorder="1" applyAlignment="1">
      <alignment vertical="center" wrapText="1"/>
    </xf>
    <xf numFmtId="0" fontId="16" fillId="0" borderId="76" xfId="51" applyFont="1" applyBorder="1" applyAlignment="1">
      <alignment vertical="center" wrapText="1"/>
    </xf>
    <xf numFmtId="0" fontId="16" fillId="0" borderId="78" xfId="51" applyFont="1" applyBorder="1" applyAlignment="1">
      <alignment vertical="center" wrapText="1"/>
    </xf>
    <xf numFmtId="0" fontId="16" fillId="25" borderId="47" xfId="51" applyFont="1" applyFill="1" applyBorder="1" applyAlignment="1">
      <alignment horizontal="left" vertical="center" wrapText="1"/>
    </xf>
    <xf numFmtId="0" fontId="16" fillId="25" borderId="24" xfId="51" applyFont="1" applyFill="1" applyBorder="1" applyAlignment="1">
      <alignment horizontal="left" vertical="center" wrapText="1"/>
    </xf>
    <xf numFmtId="0" fontId="16" fillId="0" borderId="49" xfId="51" applyFont="1" applyBorder="1" applyAlignment="1">
      <alignment vertical="center" wrapText="1"/>
    </xf>
    <xf numFmtId="0" fontId="16" fillId="0" borderId="4" xfId="51" applyFont="1" applyBorder="1" applyAlignment="1">
      <alignment vertical="center" wrapText="1"/>
    </xf>
    <xf numFmtId="0" fontId="14" fillId="0" borderId="55" xfId="51" applyFont="1" applyBorder="1" applyAlignment="1">
      <alignment horizontal="center" vertical="center"/>
    </xf>
    <xf numFmtId="0" fontId="11" fillId="0" borderId="18" xfId="51" applyBorder="1" applyAlignment="1">
      <alignment horizontal="center" vertical="center"/>
    </xf>
    <xf numFmtId="0" fontId="16" fillId="0" borderId="44" xfId="51" applyFont="1" applyBorder="1" applyAlignment="1">
      <alignment vertical="center" wrapText="1"/>
    </xf>
    <xf numFmtId="0" fontId="16" fillId="0" borderId="10" xfId="51" applyFont="1" applyBorder="1" applyAlignment="1">
      <alignment vertical="center" wrapText="1"/>
    </xf>
    <xf numFmtId="0" fontId="14" fillId="0" borderId="49" xfId="51" applyFont="1" applyBorder="1" applyAlignment="1">
      <alignment horizontal="left" vertical="center" wrapText="1"/>
    </xf>
    <xf numFmtId="0" fontId="14" fillId="0" borderId="4" xfId="51" applyFont="1" applyBorder="1" applyAlignment="1">
      <alignment horizontal="left" vertical="center" wrapText="1"/>
    </xf>
    <xf numFmtId="0" fontId="16" fillId="0" borderId="61" xfId="51" applyFont="1" applyBorder="1" applyAlignment="1">
      <alignment vertical="center" wrapText="1"/>
    </xf>
    <xf numFmtId="0" fontId="16" fillId="0" borderId="8" xfId="51" applyFont="1" applyBorder="1" applyAlignment="1">
      <alignment vertical="center" wrapText="1"/>
    </xf>
    <xf numFmtId="0" fontId="54" fillId="0" borderId="0" xfId="51" applyFont="1" applyAlignment="1">
      <alignment horizontal="center" vertical="center"/>
    </xf>
    <xf numFmtId="0" fontId="16" fillId="0" borderId="14" xfId="51" applyFont="1" applyBorder="1" applyAlignment="1">
      <alignment vertical="center" wrapText="1"/>
    </xf>
    <xf numFmtId="0" fontId="16" fillId="0" borderId="75" xfId="51" applyFont="1" applyBorder="1" applyAlignment="1">
      <alignment vertical="center" wrapText="1"/>
    </xf>
    <xf numFmtId="0" fontId="49" fillId="0" borderId="0" xfId="51" applyFont="1" applyAlignment="1">
      <alignment horizontal="center" vertical="center"/>
    </xf>
    <xf numFmtId="0" fontId="49" fillId="0" borderId="0" xfId="51" applyFont="1"/>
    <xf numFmtId="0" fontId="14" fillId="0" borderId="49" xfId="51" applyFont="1" applyBorder="1" applyAlignment="1">
      <alignment vertical="center" wrapText="1"/>
    </xf>
    <xf numFmtId="0" fontId="14" fillId="0" borderId="4" xfId="51" applyFont="1" applyBorder="1" applyAlignment="1">
      <alignment vertical="center" wrapText="1"/>
    </xf>
    <xf numFmtId="0" fontId="48" fillId="0" borderId="0" xfId="51" applyFont="1" applyAlignment="1">
      <alignment wrapText="1"/>
    </xf>
    <xf numFmtId="0" fontId="14" fillId="0" borderId="47" xfId="51" applyFont="1" applyBorder="1" applyAlignment="1">
      <alignment horizontal="left" vertical="center" wrapText="1"/>
    </xf>
    <xf numFmtId="0" fontId="14" fillId="0" borderId="24" xfId="51" applyFont="1" applyBorder="1" applyAlignment="1">
      <alignment horizontal="left" vertical="center" wrapText="1"/>
    </xf>
    <xf numFmtId="0" fontId="16" fillId="0" borderId="49" xfId="51" applyFont="1" applyBorder="1" applyAlignment="1">
      <alignment vertical="center"/>
    </xf>
    <xf numFmtId="0" fontId="56" fillId="0" borderId="4" xfId="51" applyFont="1" applyBorder="1" applyAlignment="1">
      <alignment vertical="center"/>
    </xf>
    <xf numFmtId="0" fontId="16" fillId="0" borderId="61" xfId="51" applyFont="1" applyBorder="1" applyAlignment="1">
      <alignment horizontal="left" vertical="center" wrapText="1"/>
    </xf>
    <xf numFmtId="0" fontId="11" fillId="0" borderId="8" xfId="51" applyBorder="1"/>
    <xf numFmtId="0" fontId="14" fillId="0" borderId="44" xfId="51" applyFont="1" applyBorder="1" applyAlignment="1">
      <alignment vertical="center"/>
    </xf>
    <xf numFmtId="0" fontId="11" fillId="0" borderId="10" xfId="51" applyBorder="1" applyAlignment="1">
      <alignment vertical="center"/>
    </xf>
    <xf numFmtId="0" fontId="14" fillId="0" borderId="49" xfId="51" applyFont="1" applyBorder="1" applyAlignment="1">
      <alignment vertical="center"/>
    </xf>
    <xf numFmtId="0" fontId="11" fillId="0" borderId="4" xfId="51" applyBorder="1" applyAlignment="1">
      <alignment vertical="center"/>
    </xf>
    <xf numFmtId="0" fontId="13" fillId="0" borderId="0" xfId="51" applyFont="1" applyAlignment="1">
      <alignment horizontal="center" vertical="center"/>
    </xf>
  </cellXfs>
  <cellStyles count="72">
    <cellStyle name="20 % – Zvýraznění1 2" xfId="2" xr:uid="{00000000-0005-0000-0000-000000000000}"/>
    <cellStyle name="20 % – Zvýraznění2 2" xfId="3" xr:uid="{00000000-0005-0000-0000-000001000000}"/>
    <cellStyle name="20 % – Zvýraznění3 2" xfId="4" xr:uid="{00000000-0005-0000-0000-000002000000}"/>
    <cellStyle name="20 % – Zvýraznění4 2" xfId="5" xr:uid="{00000000-0005-0000-0000-000003000000}"/>
    <cellStyle name="20 % - zvýraznenie1" xfId="6" xr:uid="{00000000-0005-0000-0000-000004000000}"/>
    <cellStyle name="20 % - zvýraznenie2" xfId="7" xr:uid="{00000000-0005-0000-0000-000005000000}"/>
    <cellStyle name="20 % - zvýraznenie3" xfId="8" xr:uid="{00000000-0005-0000-0000-000006000000}"/>
    <cellStyle name="20 % - zvýraznenie4" xfId="9" xr:uid="{00000000-0005-0000-0000-000007000000}"/>
    <cellStyle name="20 % - zvýraznenie5" xfId="10" xr:uid="{00000000-0005-0000-0000-000008000000}"/>
    <cellStyle name="20 % - zvýraznenie6" xfId="11" xr:uid="{00000000-0005-0000-0000-000009000000}"/>
    <cellStyle name="40 % – Zvýraznění3 2" xfId="12" xr:uid="{00000000-0005-0000-0000-00000A000000}"/>
    <cellStyle name="40 % - zvýraznenie1" xfId="13" xr:uid="{00000000-0005-0000-0000-00000B000000}"/>
    <cellStyle name="40 % - zvýraznenie2" xfId="14" xr:uid="{00000000-0005-0000-0000-00000C000000}"/>
    <cellStyle name="40 % - zvýraznenie3" xfId="15" xr:uid="{00000000-0005-0000-0000-00000D000000}"/>
    <cellStyle name="40 % - zvýraznenie4" xfId="16" xr:uid="{00000000-0005-0000-0000-00000E000000}"/>
    <cellStyle name="40 % - zvýraznenie5" xfId="17" xr:uid="{00000000-0005-0000-0000-00000F000000}"/>
    <cellStyle name="40 % - zvýraznenie6" xfId="18" xr:uid="{00000000-0005-0000-0000-000010000000}"/>
    <cellStyle name="60 % – Zvýraznění3 2" xfId="19" xr:uid="{00000000-0005-0000-0000-000011000000}"/>
    <cellStyle name="60 % – Zvýraznění4 2" xfId="20" xr:uid="{00000000-0005-0000-0000-000012000000}"/>
    <cellStyle name="60 % – Zvýraznění6 2" xfId="21" xr:uid="{00000000-0005-0000-0000-000013000000}"/>
    <cellStyle name="60 % - zvýraznenie1" xfId="22" xr:uid="{00000000-0005-0000-0000-000014000000}"/>
    <cellStyle name="60 % - zvýraznenie2" xfId="23" xr:uid="{00000000-0005-0000-0000-000015000000}"/>
    <cellStyle name="60 % - zvýraznenie3" xfId="24" xr:uid="{00000000-0005-0000-0000-000016000000}"/>
    <cellStyle name="60 % - zvýraznenie4" xfId="25" xr:uid="{00000000-0005-0000-0000-000017000000}"/>
    <cellStyle name="60 % - zvýraznenie5" xfId="26" xr:uid="{00000000-0005-0000-0000-000018000000}"/>
    <cellStyle name="60 % - zvýraznenie6" xfId="27" xr:uid="{00000000-0005-0000-0000-000019000000}"/>
    <cellStyle name="Dobrá" xfId="28" xr:uid="{00000000-0005-0000-0000-00001A000000}"/>
    <cellStyle name="Kontrolná bunka" xfId="29" xr:uid="{00000000-0005-0000-0000-00001B000000}"/>
    <cellStyle name="Neutrálna" xfId="30" xr:uid="{00000000-0005-0000-0000-00001C000000}"/>
    <cellStyle name="Normal_Zlin II table for road scheme submission_new environmental wording" xfId="31" xr:uid="{00000000-0005-0000-0000-00001D000000}"/>
    <cellStyle name="normálne 2" xfId="32" xr:uid="{00000000-0005-0000-0000-00001E000000}"/>
    <cellStyle name="normálne_2007 až 2013 august 2008" xfId="33" xr:uid="{00000000-0005-0000-0000-00001F000000}"/>
    <cellStyle name="Normální" xfId="0" builtinId="0"/>
    <cellStyle name="Normální 10" xfId="70" xr:uid="{7EAF0ABE-876C-4C5B-B00B-70889B2124CC}"/>
    <cellStyle name="normální 2" xfId="34" xr:uid="{00000000-0005-0000-0000-000021000000}"/>
    <cellStyle name="Normální 2 2" xfId="71" xr:uid="{F07B7566-2064-476F-9BB1-37E620009519}"/>
    <cellStyle name="Normální 3" xfId="35" xr:uid="{00000000-0005-0000-0000-000022000000}"/>
    <cellStyle name="Normální 3 2" xfId="54" xr:uid="{00000000-0005-0000-0000-000023000000}"/>
    <cellStyle name="Normální 4" xfId="36" xr:uid="{00000000-0005-0000-0000-000024000000}"/>
    <cellStyle name="Normální 4 2" xfId="51" xr:uid="{00000000-0005-0000-0000-000025000000}"/>
    <cellStyle name="Normální 5" xfId="37" xr:uid="{00000000-0005-0000-0000-000026000000}"/>
    <cellStyle name="Normální 6" xfId="53" xr:uid="{00000000-0005-0000-0000-000027000000}"/>
    <cellStyle name="Normální 6 2" xfId="58" xr:uid="{00000000-0005-0000-0000-000028000000}"/>
    <cellStyle name="Normální 6 2 2" xfId="61" xr:uid="{00000000-0005-0000-0000-000029000000}"/>
    <cellStyle name="Normální 6 2 2 2" xfId="62" xr:uid="{00000000-0005-0000-0000-00002A000000}"/>
    <cellStyle name="Normální 6 3" xfId="59" xr:uid="{00000000-0005-0000-0000-00002B000000}"/>
    <cellStyle name="Normální 6 3 2" xfId="60" xr:uid="{00000000-0005-0000-0000-00002C000000}"/>
    <cellStyle name="Normální 6 3 2 2" xfId="63" xr:uid="{00000000-0005-0000-0000-00002D000000}"/>
    <cellStyle name="Normální 6 3 2 3" xfId="65" xr:uid="{00000000-0005-0000-0000-00002E000000}"/>
    <cellStyle name="Normální 6 3 3" xfId="64" xr:uid="{00000000-0005-0000-0000-00002F000000}"/>
    <cellStyle name="Normální 6 3 4" xfId="68" xr:uid="{599A6705-45E3-4F72-8ECF-8CE826AAF7BB}"/>
    <cellStyle name="Normální 7" xfId="66" xr:uid="{9E7DB6FB-4C1D-4ED6-B264-95259FBE2035}"/>
    <cellStyle name="Normální 8" xfId="67" xr:uid="{FB0AF3BA-E015-424E-A45A-C9EA63B1A35F}"/>
    <cellStyle name="Normální 9" xfId="69" xr:uid="{117EABE7-3638-4C5B-BBAD-BDFD6F941C33}"/>
    <cellStyle name="normální_10_BILANCEE" xfId="1" xr:uid="{00000000-0005-0000-0000-000030000000}"/>
    <cellStyle name="normální_Akce EU - tabulka(tom)-final" xfId="57" xr:uid="{00000000-0005-0000-0000-000031000000}"/>
    <cellStyle name="normální_EU akce-upr 2" xfId="52" xr:uid="{00000000-0005-0000-0000-000033000000}"/>
    <cellStyle name="normální_List1" xfId="56" xr:uid="{00000000-0005-0000-0000-000034000000}"/>
    <cellStyle name="Poznámka 2" xfId="38" xr:uid="{00000000-0005-0000-0000-000035000000}"/>
    <cellStyle name="Prepojená bunka" xfId="39" xr:uid="{00000000-0005-0000-0000-000036000000}"/>
    <cellStyle name="Procenta 2" xfId="55" xr:uid="{00000000-0005-0000-0000-000037000000}"/>
    <cellStyle name="Spolu" xfId="40" xr:uid="{00000000-0005-0000-0000-000038000000}"/>
    <cellStyle name="Text upozornenia" xfId="41" xr:uid="{00000000-0005-0000-0000-000039000000}"/>
    <cellStyle name="Titul" xfId="42" xr:uid="{00000000-0005-0000-0000-00003A000000}"/>
    <cellStyle name="Vysvetľujúci text" xfId="43" xr:uid="{00000000-0005-0000-0000-00003B000000}"/>
    <cellStyle name="Zlá" xfId="44" xr:uid="{00000000-0005-0000-0000-00003C000000}"/>
    <cellStyle name="Zvýraznenie1" xfId="45" xr:uid="{00000000-0005-0000-0000-00003D000000}"/>
    <cellStyle name="Zvýraznenie2" xfId="46" xr:uid="{00000000-0005-0000-0000-00003E000000}"/>
    <cellStyle name="Zvýraznenie3" xfId="47" xr:uid="{00000000-0005-0000-0000-00003F000000}"/>
    <cellStyle name="Zvýraznenie4" xfId="48" xr:uid="{00000000-0005-0000-0000-000040000000}"/>
    <cellStyle name="Zvýraznenie5" xfId="49" xr:uid="{00000000-0005-0000-0000-000041000000}"/>
    <cellStyle name="Zvýraznenie6" xfId="50" xr:uid="{00000000-0005-0000-0000-000042000000}"/>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cs-CZ"/>
              <a:t>Přehled splácení jistiny a úroků z úvěrů čerpaných Moravskoslezským krajem (v tis. Kč)</a:t>
            </a:r>
          </a:p>
        </c:rich>
      </c:tx>
      <c:layout>
        <c:manualLayout>
          <c:xMode val="edge"/>
          <c:yMode val="edge"/>
          <c:x val="0.15142679753705285"/>
          <c:y val="4.1666757172594791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cs-CZ"/>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1579881042189453E-2"/>
          <c:y val="0.10293673635623134"/>
          <c:w val="0.85522820309522629"/>
          <c:h val="0.82645415874739814"/>
        </c:manualLayout>
      </c:layout>
      <c:bar3DChart>
        <c:barDir val="col"/>
        <c:grouping val="stacked"/>
        <c:varyColors val="0"/>
        <c:ser>
          <c:idx val="0"/>
          <c:order val="0"/>
          <c:tx>
            <c:strRef>
              <c:f>'Tab. 7'!$R$5</c:f>
              <c:strCache>
                <c:ptCount val="1"/>
                <c:pt idx="0">
                  <c:v>splátka jistiny</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numRef>
              <c:f>'Tab. 7'!$A$6:$A$20</c:f>
              <c:numCache>
                <c:formatCode>General</c:formatCode>
                <c:ptCount val="14"/>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numCache>
            </c:numRef>
          </c:cat>
          <c:val>
            <c:numRef>
              <c:f>'Tab. 7'!$R$6:$R$20</c:f>
              <c:numCache>
                <c:formatCode>#,##0</c:formatCode>
                <c:ptCount val="14"/>
                <c:pt idx="0">
                  <c:v>771547</c:v>
                </c:pt>
                <c:pt idx="1">
                  <c:v>1611342</c:v>
                </c:pt>
                <c:pt idx="2">
                  <c:v>1419200</c:v>
                </c:pt>
                <c:pt idx="3">
                  <c:v>2116055</c:v>
                </c:pt>
                <c:pt idx="4">
                  <c:v>300000</c:v>
                </c:pt>
                <c:pt idx="5">
                  <c:v>300000</c:v>
                </c:pt>
                <c:pt idx="6">
                  <c:v>300000</c:v>
                </c:pt>
                <c:pt idx="7">
                  <c:v>300000</c:v>
                </c:pt>
                <c:pt idx="8">
                  <c:v>300000</c:v>
                </c:pt>
                <c:pt idx="9">
                  <c:v>300000</c:v>
                </c:pt>
                <c:pt idx="10">
                  <c:v>300000</c:v>
                </c:pt>
                <c:pt idx="11">
                  <c:v>300000</c:v>
                </c:pt>
                <c:pt idx="12">
                  <c:v>300000</c:v>
                </c:pt>
                <c:pt idx="13">
                  <c:v>300000</c:v>
                </c:pt>
              </c:numCache>
            </c:numRef>
          </c:val>
          <c:extLst>
            <c:ext xmlns:c16="http://schemas.microsoft.com/office/drawing/2014/chart" uri="{C3380CC4-5D6E-409C-BE32-E72D297353CC}">
              <c16:uniqueId val="{00000000-54DC-4F34-BFD8-058ADE3EE3A3}"/>
            </c:ext>
          </c:extLst>
        </c:ser>
        <c:ser>
          <c:idx val="1"/>
          <c:order val="1"/>
          <c:tx>
            <c:strRef>
              <c:f>'Tab. 7'!$S$5</c:f>
              <c:strCache>
                <c:ptCount val="1"/>
                <c:pt idx="0">
                  <c:v>úrok</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numRef>
              <c:f>'Tab. 7'!$A$6:$A$20</c:f>
              <c:numCache>
                <c:formatCode>General</c:formatCode>
                <c:ptCount val="14"/>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numCache>
            </c:numRef>
          </c:cat>
          <c:val>
            <c:numRef>
              <c:f>'Tab. 7'!$S$6:$S$20</c:f>
              <c:numCache>
                <c:formatCode>#,##0</c:formatCode>
                <c:ptCount val="14"/>
                <c:pt idx="0">
                  <c:v>20000</c:v>
                </c:pt>
                <c:pt idx="1">
                  <c:v>30200</c:v>
                </c:pt>
                <c:pt idx="2">
                  <c:v>39800</c:v>
                </c:pt>
                <c:pt idx="3">
                  <c:v>39600</c:v>
                </c:pt>
                <c:pt idx="4">
                  <c:v>30000</c:v>
                </c:pt>
                <c:pt idx="5">
                  <c:v>27000</c:v>
                </c:pt>
                <c:pt idx="6">
                  <c:v>24000</c:v>
                </c:pt>
                <c:pt idx="7">
                  <c:v>21000</c:v>
                </c:pt>
                <c:pt idx="8">
                  <c:v>18000</c:v>
                </c:pt>
                <c:pt idx="9">
                  <c:v>15000</c:v>
                </c:pt>
                <c:pt idx="10">
                  <c:v>12000</c:v>
                </c:pt>
                <c:pt idx="11">
                  <c:v>9000</c:v>
                </c:pt>
                <c:pt idx="12">
                  <c:v>6000</c:v>
                </c:pt>
                <c:pt idx="13">
                  <c:v>3000</c:v>
                </c:pt>
              </c:numCache>
            </c:numRef>
          </c:val>
          <c:extLst>
            <c:ext xmlns:c16="http://schemas.microsoft.com/office/drawing/2014/chart" uri="{C3380CC4-5D6E-409C-BE32-E72D297353CC}">
              <c16:uniqueId val="{00000001-54DC-4F34-BFD8-058ADE3EE3A3}"/>
            </c:ext>
          </c:extLst>
        </c:ser>
        <c:dLbls>
          <c:showLegendKey val="0"/>
          <c:showVal val="0"/>
          <c:showCatName val="0"/>
          <c:showSerName val="0"/>
          <c:showPercent val="0"/>
          <c:showBubbleSize val="0"/>
        </c:dLbls>
        <c:gapWidth val="150"/>
        <c:shape val="box"/>
        <c:axId val="673983648"/>
        <c:axId val="673989528"/>
        <c:axId val="0"/>
      </c:bar3DChart>
      <c:catAx>
        <c:axId val="67398364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673989528"/>
        <c:crosses val="autoZero"/>
        <c:auto val="1"/>
        <c:lblAlgn val="ctr"/>
        <c:lblOffset val="100"/>
        <c:noMultiLvlLbl val="0"/>
      </c:catAx>
      <c:valAx>
        <c:axId val="673989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673983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cs-CZ"/>
    </a:p>
  </c:txPr>
  <c:printSettings>
    <c:headerFooter/>
    <c:pageMargins b="0.78740157499999996" l="0.7" r="0.7" t="0.78740157499999996"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219073</xdr:colOff>
      <xdr:row>20</xdr:row>
      <xdr:rowOff>95250</xdr:rowOff>
    </xdr:from>
    <xdr:to>
      <xdr:col>18</xdr:col>
      <xdr:colOff>428624</xdr:colOff>
      <xdr:row>56</xdr:row>
      <xdr:rowOff>57150</xdr:rowOff>
    </xdr:to>
    <xdr:graphicFrame macro="">
      <xdr:nvGraphicFramePr>
        <xdr:cNvPr id="2" name="Graf 1">
          <a:extLst>
            <a:ext uri="{FF2B5EF4-FFF2-40B4-BE49-F238E27FC236}">
              <a16:creationId xmlns:a16="http://schemas.microsoft.com/office/drawing/2014/main" id="{F9EC9F28-8764-418E-8EC2-3677B38074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tankova2598/AppData/Local/Microsoft/Windows/INetCache/Content.Outlook/P53HJRV8/ORJ14_P&#345;ehled%20projekt&#367;%202014-2020_n&#225;vrh%202020_nov&#25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skraj-my.sharepoint.com/Users/stankova2598/AppData/Local/Microsoft/Windows/INetCache/Content.Outlook/P53HJRV8/ORJ14_P&#345;ehled%20projekt&#367;%202014-2020_n&#225;vrh%202020_nov&#25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ýdaje dle STAVU"/>
      <sheetName val="Výdaje podle odvětví"/>
      <sheetName val="Příjmy podle odvětví"/>
      <sheetName val="ZÁLOHOVÉ PROJEKTY"/>
      <sheetName val="rozhodnutí"/>
      <sheetName val="rekapitulace"/>
      <sheetName val="Projekty P.O."/>
      <sheetName val="Udržitelnost podle odvětví"/>
      <sheetName val="List1"/>
      <sheetName val="neinvestiční projekty"/>
      <sheetName val="usnesení"/>
    </sheetNames>
    <sheetDataSet>
      <sheetData sheetId="0" refreshError="1"/>
      <sheetData sheetId="1"/>
      <sheetData sheetId="2" refreshError="1"/>
      <sheetData sheetId="3"/>
      <sheetData sheetId="4">
        <row r="31">
          <cell r="N31">
            <v>25.54</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ýdaje dle STAVU"/>
      <sheetName val="Výdaje podle odvětví"/>
      <sheetName val="Příjmy podle odvětví"/>
      <sheetName val="ZÁLOHOVÉ PROJEKTY"/>
      <sheetName val="rozhodnutí"/>
      <sheetName val="rekapitulace"/>
      <sheetName val="Projekty P.O."/>
      <sheetName val="Udržitelnost podle odvětví"/>
      <sheetName val="List1"/>
      <sheetName val="neinvestiční projekty"/>
      <sheetName val="usnesení"/>
    </sheetNames>
    <sheetDataSet>
      <sheetData sheetId="0" refreshError="1"/>
      <sheetData sheetId="1"/>
      <sheetData sheetId="2" refreshError="1"/>
      <sheetData sheetId="3"/>
      <sheetData sheetId="4">
        <row r="31">
          <cell r="N31">
            <v>25.54</v>
          </cell>
        </row>
      </sheetData>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8"/>
  <sheetViews>
    <sheetView tabSelected="1" workbookViewId="0">
      <selection activeCell="E4" sqref="E4"/>
    </sheetView>
  </sheetViews>
  <sheetFormatPr defaultRowHeight="15.75" x14ac:dyDescent="0.25"/>
  <cols>
    <col min="1" max="1" width="15.85546875" style="32" customWidth="1"/>
    <col min="2" max="2" width="67.42578125" style="32" customWidth="1"/>
    <col min="3" max="3" width="5.7109375" style="133" customWidth="1"/>
    <col min="4" max="16384" width="9.140625" style="32"/>
  </cols>
  <sheetData>
    <row r="1" spans="1:4" ht="15" x14ac:dyDescent="0.2">
      <c r="A1" s="138" t="s">
        <v>896</v>
      </c>
      <c r="C1" s="129"/>
    </row>
    <row r="2" spans="1:4" x14ac:dyDescent="0.25">
      <c r="C2" s="130"/>
    </row>
    <row r="3" spans="1:4" ht="17.25" customHeight="1" x14ac:dyDescent="0.2">
      <c r="A3" s="566" t="s">
        <v>58</v>
      </c>
      <c r="B3" s="566"/>
      <c r="C3" s="36"/>
      <c r="D3" s="36"/>
    </row>
    <row r="4" spans="1:4" ht="19.5" customHeight="1" x14ac:dyDescent="0.2">
      <c r="A4" s="566" t="s">
        <v>881</v>
      </c>
      <c r="B4" s="566"/>
      <c r="C4" s="127"/>
      <c r="D4" s="36"/>
    </row>
    <row r="6" spans="1:4" ht="18" customHeight="1" x14ac:dyDescent="0.2">
      <c r="A6" s="567" t="s">
        <v>66</v>
      </c>
      <c r="B6" s="567"/>
      <c r="C6" s="127"/>
    </row>
    <row r="7" spans="1:4" ht="36.75" customHeight="1" x14ac:dyDescent="0.2">
      <c r="A7" s="84"/>
      <c r="B7" s="84"/>
      <c r="C7" s="127"/>
    </row>
    <row r="8" spans="1:4" s="127" customFormat="1" ht="21" customHeight="1" x14ac:dyDescent="0.2">
      <c r="A8" s="126" t="s">
        <v>230</v>
      </c>
      <c r="C8" s="128" t="s">
        <v>231</v>
      </c>
    </row>
    <row r="9" spans="1:4" s="127" customFormat="1" ht="15" customHeight="1" x14ac:dyDescent="0.2">
      <c r="A9" s="126"/>
      <c r="C9" s="128"/>
    </row>
    <row r="10" spans="1:4" ht="18" customHeight="1" x14ac:dyDescent="0.2">
      <c r="A10" s="145" t="s">
        <v>48</v>
      </c>
      <c r="B10" s="33" t="s">
        <v>869</v>
      </c>
      <c r="C10" s="131">
        <v>2</v>
      </c>
    </row>
    <row r="11" spans="1:4" ht="15" x14ac:dyDescent="0.2">
      <c r="A11" s="145"/>
      <c r="B11" s="33"/>
      <c r="C11" s="131"/>
    </row>
    <row r="12" spans="1:4" ht="18" customHeight="1" x14ac:dyDescent="0.2">
      <c r="A12" s="145" t="s">
        <v>59</v>
      </c>
      <c r="B12" s="33" t="s">
        <v>870</v>
      </c>
      <c r="C12" s="131">
        <v>4</v>
      </c>
    </row>
    <row r="13" spans="1:4" ht="15" x14ac:dyDescent="0.2">
      <c r="A13" s="145"/>
      <c r="B13" s="33"/>
      <c r="C13" s="131"/>
    </row>
    <row r="14" spans="1:4" ht="30" x14ac:dyDescent="0.2">
      <c r="A14" s="145" t="s">
        <v>60</v>
      </c>
      <c r="B14" s="33" t="s">
        <v>243</v>
      </c>
      <c r="C14" s="131">
        <v>6</v>
      </c>
    </row>
    <row r="15" spans="1:4" ht="15" x14ac:dyDescent="0.2">
      <c r="A15" s="145"/>
      <c r="B15" s="33"/>
      <c r="C15" s="150"/>
    </row>
    <row r="16" spans="1:4" ht="18" customHeight="1" x14ac:dyDescent="0.2">
      <c r="A16" s="145" t="s">
        <v>61</v>
      </c>
      <c r="B16" s="33" t="s">
        <v>236</v>
      </c>
      <c r="C16" s="131">
        <v>13</v>
      </c>
    </row>
    <row r="17" spans="1:3" ht="15" x14ac:dyDescent="0.2">
      <c r="A17" s="145"/>
      <c r="B17" s="33"/>
      <c r="C17" s="131"/>
    </row>
    <row r="18" spans="1:3" ht="18" customHeight="1" x14ac:dyDescent="0.2">
      <c r="A18" s="145" t="s">
        <v>62</v>
      </c>
      <c r="B18" s="33" t="s">
        <v>237</v>
      </c>
      <c r="C18" s="131">
        <v>16</v>
      </c>
    </row>
    <row r="19" spans="1:3" ht="15" x14ac:dyDescent="0.2">
      <c r="A19" s="145"/>
      <c r="B19" s="33"/>
      <c r="C19" s="150"/>
    </row>
    <row r="20" spans="1:3" ht="30" x14ac:dyDescent="0.2">
      <c r="A20" s="145" t="s">
        <v>63</v>
      </c>
      <c r="B20" s="33" t="s">
        <v>240</v>
      </c>
      <c r="C20" s="131">
        <v>34</v>
      </c>
    </row>
    <row r="21" spans="1:3" ht="15" x14ac:dyDescent="0.2">
      <c r="A21" s="145"/>
      <c r="B21" s="33"/>
      <c r="C21" s="150"/>
    </row>
    <row r="22" spans="1:3" ht="30" x14ac:dyDescent="0.2">
      <c r="A22" s="145" t="s">
        <v>64</v>
      </c>
      <c r="B22" s="33" t="s">
        <v>67</v>
      </c>
      <c r="C22" s="131">
        <v>37</v>
      </c>
    </row>
    <row r="23" spans="1:3" ht="15" x14ac:dyDescent="0.2">
      <c r="A23" s="145"/>
      <c r="B23" s="33"/>
      <c r="C23" s="131"/>
    </row>
    <row r="24" spans="1:3" ht="18" customHeight="1" x14ac:dyDescent="0.2">
      <c r="A24" s="145" t="s">
        <v>65</v>
      </c>
      <c r="B24" s="33" t="s">
        <v>241</v>
      </c>
      <c r="C24" s="131">
        <v>38</v>
      </c>
    </row>
    <row r="25" spans="1:3" ht="15" x14ac:dyDescent="0.2">
      <c r="A25" s="35"/>
      <c r="B25" s="33"/>
      <c r="C25" s="131"/>
    </row>
    <row r="26" spans="1:3" ht="15" x14ac:dyDescent="0.2">
      <c r="A26" s="35"/>
      <c r="B26" s="34"/>
      <c r="C26" s="131"/>
    </row>
    <row r="27" spans="1:3" ht="15" x14ac:dyDescent="0.2">
      <c r="C27" s="564"/>
    </row>
    <row r="28" spans="1:3" ht="15" x14ac:dyDescent="0.2">
      <c r="C28" s="131"/>
    </row>
    <row r="29" spans="1:3" x14ac:dyDescent="0.25">
      <c r="C29" s="565"/>
    </row>
    <row r="30" spans="1:3" ht="15" x14ac:dyDescent="0.2">
      <c r="C30" s="131"/>
    </row>
    <row r="31" spans="1:3" x14ac:dyDescent="0.25">
      <c r="C31" s="132"/>
    </row>
    <row r="32" spans="1:3" ht="15" x14ac:dyDescent="0.2">
      <c r="C32" s="131"/>
    </row>
    <row r="33" spans="3:3" x14ac:dyDescent="0.25">
      <c r="C33" s="132"/>
    </row>
    <row r="34" spans="3:3" ht="15" x14ac:dyDescent="0.2">
      <c r="C34" s="131"/>
    </row>
    <row r="35" spans="3:3" x14ac:dyDescent="0.25">
      <c r="C35" s="132"/>
    </row>
    <row r="36" spans="3:3" ht="15" x14ac:dyDescent="0.2">
      <c r="C36" s="131"/>
    </row>
    <row r="37" spans="3:3" x14ac:dyDescent="0.25">
      <c r="C37" s="132"/>
    </row>
    <row r="38" spans="3:3" ht="15" x14ac:dyDescent="0.2">
      <c r="C38" s="131"/>
    </row>
  </sheetData>
  <mergeCells count="3">
    <mergeCell ref="A4:B4"/>
    <mergeCell ref="A3:B3"/>
    <mergeCell ref="A6:B6"/>
  </mergeCells>
  <pageMargins left="0.70866141732283472" right="0.70866141732283472" top="0.78740157480314965" bottom="0.78740157480314965" header="0.31496062992125984" footer="0.31496062992125984"/>
  <pageSetup paperSize="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41DF8-BC89-4D83-8100-781518DF494C}">
  <sheetPr>
    <pageSetUpPr fitToPage="1"/>
  </sheetPr>
  <dimension ref="A1:V79"/>
  <sheetViews>
    <sheetView zoomScaleNormal="100" workbookViewId="0">
      <selection activeCell="K41" sqref="K41"/>
    </sheetView>
  </sheetViews>
  <sheetFormatPr defaultRowHeight="10.5" x14ac:dyDescent="0.15"/>
  <cols>
    <col min="1" max="1" width="38.140625" style="85" customWidth="1"/>
    <col min="2" max="2" width="13.42578125" style="85" customWidth="1"/>
    <col min="3" max="10" width="14.7109375" style="85" customWidth="1"/>
    <col min="11" max="254" width="9.140625" style="85"/>
    <col min="255" max="256" width="0" style="85" hidden="1" customWidth="1"/>
    <col min="257" max="257" width="11.140625" style="85" customWidth="1"/>
    <col min="258" max="258" width="43.140625" style="85" customWidth="1"/>
    <col min="259" max="260" width="13.28515625" style="85" customWidth="1"/>
    <col min="261" max="261" width="13.5703125" style="85" customWidth="1"/>
    <col min="262" max="264" width="14.85546875" style="85" customWidth="1"/>
    <col min="265" max="266" width="12.5703125" style="85" bestFit="1" customWidth="1"/>
    <col min="267" max="510" width="9.140625" style="85"/>
    <col min="511" max="512" width="0" style="85" hidden="1" customWidth="1"/>
    <col min="513" max="513" width="11.140625" style="85" customWidth="1"/>
    <col min="514" max="514" width="43.140625" style="85" customWidth="1"/>
    <col min="515" max="516" width="13.28515625" style="85" customWidth="1"/>
    <col min="517" max="517" width="13.5703125" style="85" customWidth="1"/>
    <col min="518" max="520" width="14.85546875" style="85" customWidth="1"/>
    <col min="521" max="522" width="12.5703125" style="85" bestFit="1" customWidth="1"/>
    <col min="523" max="766" width="9.140625" style="85"/>
    <col min="767" max="768" width="0" style="85" hidden="1" customWidth="1"/>
    <col min="769" max="769" width="11.140625" style="85" customWidth="1"/>
    <col min="770" max="770" width="43.140625" style="85" customWidth="1"/>
    <col min="771" max="772" width="13.28515625" style="85" customWidth="1"/>
    <col min="773" max="773" width="13.5703125" style="85" customWidth="1"/>
    <col min="774" max="776" width="14.85546875" style="85" customWidth="1"/>
    <col min="777" max="778" width="12.5703125" style="85" bestFit="1" customWidth="1"/>
    <col min="779" max="1022" width="9.140625" style="85"/>
    <col min="1023" max="1024" width="0" style="85" hidden="1" customWidth="1"/>
    <col min="1025" max="1025" width="11.140625" style="85" customWidth="1"/>
    <col min="1026" max="1026" width="43.140625" style="85" customWidth="1"/>
    <col min="1027" max="1028" width="13.28515625" style="85" customWidth="1"/>
    <col min="1029" max="1029" width="13.5703125" style="85" customWidth="1"/>
    <col min="1030" max="1032" width="14.85546875" style="85" customWidth="1"/>
    <col min="1033" max="1034" width="12.5703125" style="85" bestFit="1" customWidth="1"/>
    <col min="1035" max="1278" width="9.140625" style="85"/>
    <col min="1279" max="1280" width="0" style="85" hidden="1" customWidth="1"/>
    <col min="1281" max="1281" width="11.140625" style="85" customWidth="1"/>
    <col min="1282" max="1282" width="43.140625" style="85" customWidth="1"/>
    <col min="1283" max="1284" width="13.28515625" style="85" customWidth="1"/>
    <col min="1285" max="1285" width="13.5703125" style="85" customWidth="1"/>
    <col min="1286" max="1288" width="14.85546875" style="85" customWidth="1"/>
    <col min="1289" max="1290" width="12.5703125" style="85" bestFit="1" customWidth="1"/>
    <col min="1291" max="1534" width="9.140625" style="85"/>
    <col min="1535" max="1536" width="0" style="85" hidden="1" customWidth="1"/>
    <col min="1537" max="1537" width="11.140625" style="85" customWidth="1"/>
    <col min="1538" max="1538" width="43.140625" style="85" customWidth="1"/>
    <col min="1539" max="1540" width="13.28515625" style="85" customWidth="1"/>
    <col min="1541" max="1541" width="13.5703125" style="85" customWidth="1"/>
    <col min="1542" max="1544" width="14.85546875" style="85" customWidth="1"/>
    <col min="1545" max="1546" width="12.5703125" style="85" bestFit="1" customWidth="1"/>
    <col min="1547" max="1790" width="9.140625" style="85"/>
    <col min="1791" max="1792" width="0" style="85" hidden="1" customWidth="1"/>
    <col min="1793" max="1793" width="11.140625" style="85" customWidth="1"/>
    <col min="1794" max="1794" width="43.140625" style="85" customWidth="1"/>
    <col min="1795" max="1796" width="13.28515625" style="85" customWidth="1"/>
    <col min="1797" max="1797" width="13.5703125" style="85" customWidth="1"/>
    <col min="1798" max="1800" width="14.85546875" style="85" customWidth="1"/>
    <col min="1801" max="1802" width="12.5703125" style="85" bestFit="1" customWidth="1"/>
    <col min="1803" max="2046" width="9.140625" style="85"/>
    <col min="2047" max="2048" width="0" style="85" hidden="1" customWidth="1"/>
    <col min="2049" max="2049" width="11.140625" style="85" customWidth="1"/>
    <col min="2050" max="2050" width="43.140625" style="85" customWidth="1"/>
    <col min="2051" max="2052" width="13.28515625" style="85" customWidth="1"/>
    <col min="2053" max="2053" width="13.5703125" style="85" customWidth="1"/>
    <col min="2054" max="2056" width="14.85546875" style="85" customWidth="1"/>
    <col min="2057" max="2058" width="12.5703125" style="85" bestFit="1" customWidth="1"/>
    <col min="2059" max="2302" width="9.140625" style="85"/>
    <col min="2303" max="2304" width="0" style="85" hidden="1" customWidth="1"/>
    <col min="2305" max="2305" width="11.140625" style="85" customWidth="1"/>
    <col min="2306" max="2306" width="43.140625" style="85" customWidth="1"/>
    <col min="2307" max="2308" width="13.28515625" style="85" customWidth="1"/>
    <col min="2309" max="2309" width="13.5703125" style="85" customWidth="1"/>
    <col min="2310" max="2312" width="14.85546875" style="85" customWidth="1"/>
    <col min="2313" max="2314" width="12.5703125" style="85" bestFit="1" customWidth="1"/>
    <col min="2315" max="2558" width="9.140625" style="85"/>
    <col min="2559" max="2560" width="0" style="85" hidden="1" customWidth="1"/>
    <col min="2561" max="2561" width="11.140625" style="85" customWidth="1"/>
    <col min="2562" max="2562" width="43.140625" style="85" customWidth="1"/>
    <col min="2563" max="2564" width="13.28515625" style="85" customWidth="1"/>
    <col min="2565" max="2565" width="13.5703125" style="85" customWidth="1"/>
    <col min="2566" max="2568" width="14.85546875" style="85" customWidth="1"/>
    <col min="2569" max="2570" width="12.5703125" style="85" bestFit="1" customWidth="1"/>
    <col min="2571" max="2814" width="9.140625" style="85"/>
    <col min="2815" max="2816" width="0" style="85" hidden="1" customWidth="1"/>
    <col min="2817" max="2817" width="11.140625" style="85" customWidth="1"/>
    <col min="2818" max="2818" width="43.140625" style="85" customWidth="1"/>
    <col min="2819" max="2820" width="13.28515625" style="85" customWidth="1"/>
    <col min="2821" max="2821" width="13.5703125" style="85" customWidth="1"/>
    <col min="2822" max="2824" width="14.85546875" style="85" customWidth="1"/>
    <col min="2825" max="2826" width="12.5703125" style="85" bestFit="1" customWidth="1"/>
    <col min="2827" max="3070" width="9.140625" style="85"/>
    <col min="3071" max="3072" width="0" style="85" hidden="1" customWidth="1"/>
    <col min="3073" max="3073" width="11.140625" style="85" customWidth="1"/>
    <col min="3074" max="3074" width="43.140625" style="85" customWidth="1"/>
    <col min="3075" max="3076" width="13.28515625" style="85" customWidth="1"/>
    <col min="3077" max="3077" width="13.5703125" style="85" customWidth="1"/>
    <col min="3078" max="3080" width="14.85546875" style="85" customWidth="1"/>
    <col min="3081" max="3082" width="12.5703125" style="85" bestFit="1" customWidth="1"/>
    <col min="3083" max="3326" width="9.140625" style="85"/>
    <col min="3327" max="3328" width="0" style="85" hidden="1" customWidth="1"/>
    <col min="3329" max="3329" width="11.140625" style="85" customWidth="1"/>
    <col min="3330" max="3330" width="43.140625" style="85" customWidth="1"/>
    <col min="3331" max="3332" width="13.28515625" style="85" customWidth="1"/>
    <col min="3333" max="3333" width="13.5703125" style="85" customWidth="1"/>
    <col min="3334" max="3336" width="14.85546875" style="85" customWidth="1"/>
    <col min="3337" max="3338" width="12.5703125" style="85" bestFit="1" customWidth="1"/>
    <col min="3339" max="3582" width="9.140625" style="85"/>
    <col min="3583" max="3584" width="0" style="85" hidden="1" customWidth="1"/>
    <col min="3585" max="3585" width="11.140625" style="85" customWidth="1"/>
    <col min="3586" max="3586" width="43.140625" style="85" customWidth="1"/>
    <col min="3587" max="3588" width="13.28515625" style="85" customWidth="1"/>
    <col min="3589" max="3589" width="13.5703125" style="85" customWidth="1"/>
    <col min="3590" max="3592" width="14.85546875" style="85" customWidth="1"/>
    <col min="3593" max="3594" width="12.5703125" style="85" bestFit="1" customWidth="1"/>
    <col min="3595" max="3838" width="9.140625" style="85"/>
    <col min="3839" max="3840" width="0" style="85" hidden="1" customWidth="1"/>
    <col min="3841" max="3841" width="11.140625" style="85" customWidth="1"/>
    <col min="3842" max="3842" width="43.140625" style="85" customWidth="1"/>
    <col min="3843" max="3844" width="13.28515625" style="85" customWidth="1"/>
    <col min="3845" max="3845" width="13.5703125" style="85" customWidth="1"/>
    <col min="3846" max="3848" width="14.85546875" style="85" customWidth="1"/>
    <col min="3849" max="3850" width="12.5703125" style="85" bestFit="1" customWidth="1"/>
    <col min="3851" max="4094" width="9.140625" style="85"/>
    <col min="4095" max="4096" width="0" style="85" hidden="1" customWidth="1"/>
    <col min="4097" max="4097" width="11.140625" style="85" customWidth="1"/>
    <col min="4098" max="4098" width="43.140625" style="85" customWidth="1"/>
    <col min="4099" max="4100" width="13.28515625" style="85" customWidth="1"/>
    <col min="4101" max="4101" width="13.5703125" style="85" customWidth="1"/>
    <col min="4102" max="4104" width="14.85546875" style="85" customWidth="1"/>
    <col min="4105" max="4106" width="12.5703125" style="85" bestFit="1" customWidth="1"/>
    <col min="4107" max="4350" width="9.140625" style="85"/>
    <col min="4351" max="4352" width="0" style="85" hidden="1" customWidth="1"/>
    <col min="4353" max="4353" width="11.140625" style="85" customWidth="1"/>
    <col min="4354" max="4354" width="43.140625" style="85" customWidth="1"/>
    <col min="4355" max="4356" width="13.28515625" style="85" customWidth="1"/>
    <col min="4357" max="4357" width="13.5703125" style="85" customWidth="1"/>
    <col min="4358" max="4360" width="14.85546875" style="85" customWidth="1"/>
    <col min="4361" max="4362" width="12.5703125" style="85" bestFit="1" customWidth="1"/>
    <col min="4363" max="4606" width="9.140625" style="85"/>
    <col min="4607" max="4608" width="0" style="85" hidden="1" customWidth="1"/>
    <col min="4609" max="4609" width="11.140625" style="85" customWidth="1"/>
    <col min="4610" max="4610" width="43.140625" style="85" customWidth="1"/>
    <col min="4611" max="4612" width="13.28515625" style="85" customWidth="1"/>
    <col min="4613" max="4613" width="13.5703125" style="85" customWidth="1"/>
    <col min="4614" max="4616" width="14.85546875" style="85" customWidth="1"/>
    <col min="4617" max="4618" width="12.5703125" style="85" bestFit="1" customWidth="1"/>
    <col min="4619" max="4862" width="9.140625" style="85"/>
    <col min="4863" max="4864" width="0" style="85" hidden="1" customWidth="1"/>
    <col min="4865" max="4865" width="11.140625" style="85" customWidth="1"/>
    <col min="4866" max="4866" width="43.140625" style="85" customWidth="1"/>
    <col min="4867" max="4868" width="13.28515625" style="85" customWidth="1"/>
    <col min="4869" max="4869" width="13.5703125" style="85" customWidth="1"/>
    <col min="4870" max="4872" width="14.85546875" style="85" customWidth="1"/>
    <col min="4873" max="4874" width="12.5703125" style="85" bestFit="1" customWidth="1"/>
    <col min="4875" max="5118" width="9.140625" style="85"/>
    <col min="5119" max="5120" width="0" style="85" hidden="1" customWidth="1"/>
    <col min="5121" max="5121" width="11.140625" style="85" customWidth="1"/>
    <col min="5122" max="5122" width="43.140625" style="85" customWidth="1"/>
    <col min="5123" max="5124" width="13.28515625" style="85" customWidth="1"/>
    <col min="5125" max="5125" width="13.5703125" style="85" customWidth="1"/>
    <col min="5126" max="5128" width="14.85546875" style="85" customWidth="1"/>
    <col min="5129" max="5130" width="12.5703125" style="85" bestFit="1" customWidth="1"/>
    <col min="5131" max="5374" width="9.140625" style="85"/>
    <col min="5375" max="5376" width="0" style="85" hidden="1" customWidth="1"/>
    <col min="5377" max="5377" width="11.140625" style="85" customWidth="1"/>
    <col min="5378" max="5378" width="43.140625" style="85" customWidth="1"/>
    <col min="5379" max="5380" width="13.28515625" style="85" customWidth="1"/>
    <col min="5381" max="5381" width="13.5703125" style="85" customWidth="1"/>
    <col min="5382" max="5384" width="14.85546875" style="85" customWidth="1"/>
    <col min="5385" max="5386" width="12.5703125" style="85" bestFit="1" customWidth="1"/>
    <col min="5387" max="5630" width="9.140625" style="85"/>
    <col min="5631" max="5632" width="0" style="85" hidden="1" customWidth="1"/>
    <col min="5633" max="5633" width="11.140625" style="85" customWidth="1"/>
    <col min="5634" max="5634" width="43.140625" style="85" customWidth="1"/>
    <col min="5635" max="5636" width="13.28515625" style="85" customWidth="1"/>
    <col min="5637" max="5637" width="13.5703125" style="85" customWidth="1"/>
    <col min="5638" max="5640" width="14.85546875" style="85" customWidth="1"/>
    <col min="5641" max="5642" width="12.5703125" style="85" bestFit="1" customWidth="1"/>
    <col min="5643" max="5886" width="9.140625" style="85"/>
    <col min="5887" max="5888" width="0" style="85" hidden="1" customWidth="1"/>
    <col min="5889" max="5889" width="11.140625" style="85" customWidth="1"/>
    <col min="5890" max="5890" width="43.140625" style="85" customWidth="1"/>
    <col min="5891" max="5892" width="13.28515625" style="85" customWidth="1"/>
    <col min="5893" max="5893" width="13.5703125" style="85" customWidth="1"/>
    <col min="5894" max="5896" width="14.85546875" style="85" customWidth="1"/>
    <col min="5897" max="5898" width="12.5703125" style="85" bestFit="1" customWidth="1"/>
    <col min="5899" max="6142" width="9.140625" style="85"/>
    <col min="6143" max="6144" width="0" style="85" hidden="1" customWidth="1"/>
    <col min="6145" max="6145" width="11.140625" style="85" customWidth="1"/>
    <col min="6146" max="6146" width="43.140625" style="85" customWidth="1"/>
    <col min="6147" max="6148" width="13.28515625" style="85" customWidth="1"/>
    <col min="6149" max="6149" width="13.5703125" style="85" customWidth="1"/>
    <col min="6150" max="6152" width="14.85546875" style="85" customWidth="1"/>
    <col min="6153" max="6154" width="12.5703125" style="85" bestFit="1" customWidth="1"/>
    <col min="6155" max="6398" width="9.140625" style="85"/>
    <col min="6399" max="6400" width="0" style="85" hidden="1" customWidth="1"/>
    <col min="6401" max="6401" width="11.140625" style="85" customWidth="1"/>
    <col min="6402" max="6402" width="43.140625" style="85" customWidth="1"/>
    <col min="6403" max="6404" width="13.28515625" style="85" customWidth="1"/>
    <col min="6405" max="6405" width="13.5703125" style="85" customWidth="1"/>
    <col min="6406" max="6408" width="14.85546875" style="85" customWidth="1"/>
    <col min="6409" max="6410" width="12.5703125" style="85" bestFit="1" customWidth="1"/>
    <col min="6411" max="6654" width="9.140625" style="85"/>
    <col min="6655" max="6656" width="0" style="85" hidden="1" customWidth="1"/>
    <col min="6657" max="6657" width="11.140625" style="85" customWidth="1"/>
    <col min="6658" max="6658" width="43.140625" style="85" customWidth="1"/>
    <col min="6659" max="6660" width="13.28515625" style="85" customWidth="1"/>
    <col min="6661" max="6661" width="13.5703125" style="85" customWidth="1"/>
    <col min="6662" max="6664" width="14.85546875" style="85" customWidth="1"/>
    <col min="6665" max="6666" width="12.5703125" style="85" bestFit="1" customWidth="1"/>
    <col min="6667" max="6910" width="9.140625" style="85"/>
    <col min="6911" max="6912" width="0" style="85" hidden="1" customWidth="1"/>
    <col min="6913" max="6913" width="11.140625" style="85" customWidth="1"/>
    <col min="6914" max="6914" width="43.140625" style="85" customWidth="1"/>
    <col min="6915" max="6916" width="13.28515625" style="85" customWidth="1"/>
    <col min="6917" max="6917" width="13.5703125" style="85" customWidth="1"/>
    <col min="6918" max="6920" width="14.85546875" style="85" customWidth="1"/>
    <col min="6921" max="6922" width="12.5703125" style="85" bestFit="1" customWidth="1"/>
    <col min="6923" max="7166" width="9.140625" style="85"/>
    <col min="7167" max="7168" width="0" style="85" hidden="1" customWidth="1"/>
    <col min="7169" max="7169" width="11.140625" style="85" customWidth="1"/>
    <col min="7170" max="7170" width="43.140625" style="85" customWidth="1"/>
    <col min="7171" max="7172" width="13.28515625" style="85" customWidth="1"/>
    <col min="7173" max="7173" width="13.5703125" style="85" customWidth="1"/>
    <col min="7174" max="7176" width="14.85546875" style="85" customWidth="1"/>
    <col min="7177" max="7178" width="12.5703125" style="85" bestFit="1" customWidth="1"/>
    <col min="7179" max="7422" width="9.140625" style="85"/>
    <col min="7423" max="7424" width="0" style="85" hidden="1" customWidth="1"/>
    <col min="7425" max="7425" width="11.140625" style="85" customWidth="1"/>
    <col min="7426" max="7426" width="43.140625" style="85" customWidth="1"/>
    <col min="7427" max="7428" width="13.28515625" style="85" customWidth="1"/>
    <col min="7429" max="7429" width="13.5703125" style="85" customWidth="1"/>
    <col min="7430" max="7432" width="14.85546875" style="85" customWidth="1"/>
    <col min="7433" max="7434" width="12.5703125" style="85" bestFit="1" customWidth="1"/>
    <col min="7435" max="7678" width="9.140625" style="85"/>
    <col min="7679" max="7680" width="0" style="85" hidden="1" customWidth="1"/>
    <col min="7681" max="7681" width="11.140625" style="85" customWidth="1"/>
    <col min="7682" max="7682" width="43.140625" style="85" customWidth="1"/>
    <col min="7683" max="7684" width="13.28515625" style="85" customWidth="1"/>
    <col min="7685" max="7685" width="13.5703125" style="85" customWidth="1"/>
    <col min="7686" max="7688" width="14.85546875" style="85" customWidth="1"/>
    <col min="7689" max="7690" width="12.5703125" style="85" bestFit="1" customWidth="1"/>
    <col min="7691" max="7934" width="9.140625" style="85"/>
    <col min="7935" max="7936" width="0" style="85" hidden="1" customWidth="1"/>
    <col min="7937" max="7937" width="11.140625" style="85" customWidth="1"/>
    <col min="7938" max="7938" width="43.140625" style="85" customWidth="1"/>
    <col min="7939" max="7940" width="13.28515625" style="85" customWidth="1"/>
    <col min="7941" max="7941" width="13.5703125" style="85" customWidth="1"/>
    <col min="7942" max="7944" width="14.85546875" style="85" customWidth="1"/>
    <col min="7945" max="7946" width="12.5703125" style="85" bestFit="1" customWidth="1"/>
    <col min="7947" max="8190" width="9.140625" style="85"/>
    <col min="8191" max="8192" width="0" style="85" hidden="1" customWidth="1"/>
    <col min="8193" max="8193" width="11.140625" style="85" customWidth="1"/>
    <col min="8194" max="8194" width="43.140625" style="85" customWidth="1"/>
    <col min="8195" max="8196" width="13.28515625" style="85" customWidth="1"/>
    <col min="8197" max="8197" width="13.5703125" style="85" customWidth="1"/>
    <col min="8198" max="8200" width="14.85546875" style="85" customWidth="1"/>
    <col min="8201" max="8202" width="12.5703125" style="85" bestFit="1" customWidth="1"/>
    <col min="8203" max="8446" width="9.140625" style="85"/>
    <col min="8447" max="8448" width="0" style="85" hidden="1" customWidth="1"/>
    <col min="8449" max="8449" width="11.140625" style="85" customWidth="1"/>
    <col min="8450" max="8450" width="43.140625" style="85" customWidth="1"/>
    <col min="8451" max="8452" width="13.28515625" style="85" customWidth="1"/>
    <col min="8453" max="8453" width="13.5703125" style="85" customWidth="1"/>
    <col min="8454" max="8456" width="14.85546875" style="85" customWidth="1"/>
    <col min="8457" max="8458" width="12.5703125" style="85" bestFit="1" customWidth="1"/>
    <col min="8459" max="8702" width="9.140625" style="85"/>
    <col min="8703" max="8704" width="0" style="85" hidden="1" customWidth="1"/>
    <col min="8705" max="8705" width="11.140625" style="85" customWidth="1"/>
    <col min="8706" max="8706" width="43.140625" style="85" customWidth="1"/>
    <col min="8707" max="8708" width="13.28515625" style="85" customWidth="1"/>
    <col min="8709" max="8709" width="13.5703125" style="85" customWidth="1"/>
    <col min="8710" max="8712" width="14.85546875" style="85" customWidth="1"/>
    <col min="8713" max="8714" width="12.5703125" style="85" bestFit="1" customWidth="1"/>
    <col min="8715" max="8958" width="9.140625" style="85"/>
    <col min="8959" max="8960" width="0" style="85" hidden="1" customWidth="1"/>
    <col min="8961" max="8961" width="11.140625" style="85" customWidth="1"/>
    <col min="8962" max="8962" width="43.140625" style="85" customWidth="1"/>
    <col min="8963" max="8964" width="13.28515625" style="85" customWidth="1"/>
    <col min="8965" max="8965" width="13.5703125" style="85" customWidth="1"/>
    <col min="8966" max="8968" width="14.85546875" style="85" customWidth="1"/>
    <col min="8969" max="8970" width="12.5703125" style="85" bestFit="1" customWidth="1"/>
    <col min="8971" max="9214" width="9.140625" style="85"/>
    <col min="9215" max="9216" width="0" style="85" hidden="1" customWidth="1"/>
    <col min="9217" max="9217" width="11.140625" style="85" customWidth="1"/>
    <col min="9218" max="9218" width="43.140625" style="85" customWidth="1"/>
    <col min="9219" max="9220" width="13.28515625" style="85" customWidth="1"/>
    <col min="9221" max="9221" width="13.5703125" style="85" customWidth="1"/>
    <col min="9222" max="9224" width="14.85546875" style="85" customWidth="1"/>
    <col min="9225" max="9226" width="12.5703125" style="85" bestFit="1" customWidth="1"/>
    <col min="9227" max="9470" width="9.140625" style="85"/>
    <col min="9471" max="9472" width="0" style="85" hidden="1" customWidth="1"/>
    <col min="9473" max="9473" width="11.140625" style="85" customWidth="1"/>
    <col min="9474" max="9474" width="43.140625" style="85" customWidth="1"/>
    <col min="9475" max="9476" width="13.28515625" style="85" customWidth="1"/>
    <col min="9477" max="9477" width="13.5703125" style="85" customWidth="1"/>
    <col min="9478" max="9480" width="14.85546875" style="85" customWidth="1"/>
    <col min="9481" max="9482" width="12.5703125" style="85" bestFit="1" customWidth="1"/>
    <col min="9483" max="9726" width="9.140625" style="85"/>
    <col min="9727" max="9728" width="0" style="85" hidden="1" customWidth="1"/>
    <col min="9729" max="9729" width="11.140625" style="85" customWidth="1"/>
    <col min="9730" max="9730" width="43.140625" style="85" customWidth="1"/>
    <col min="9731" max="9732" width="13.28515625" style="85" customWidth="1"/>
    <col min="9733" max="9733" width="13.5703125" style="85" customWidth="1"/>
    <col min="9734" max="9736" width="14.85546875" style="85" customWidth="1"/>
    <col min="9737" max="9738" width="12.5703125" style="85" bestFit="1" customWidth="1"/>
    <col min="9739" max="9982" width="9.140625" style="85"/>
    <col min="9983" max="9984" width="0" style="85" hidden="1" customWidth="1"/>
    <col min="9985" max="9985" width="11.140625" style="85" customWidth="1"/>
    <col min="9986" max="9986" width="43.140625" style="85" customWidth="1"/>
    <col min="9987" max="9988" width="13.28515625" style="85" customWidth="1"/>
    <col min="9989" max="9989" width="13.5703125" style="85" customWidth="1"/>
    <col min="9990" max="9992" width="14.85546875" style="85" customWidth="1"/>
    <col min="9993" max="9994" width="12.5703125" style="85" bestFit="1" customWidth="1"/>
    <col min="9995" max="10238" width="9.140625" style="85"/>
    <col min="10239" max="10240" width="0" style="85" hidden="1" customWidth="1"/>
    <col min="10241" max="10241" width="11.140625" style="85" customWidth="1"/>
    <col min="10242" max="10242" width="43.140625" style="85" customWidth="1"/>
    <col min="10243" max="10244" width="13.28515625" style="85" customWidth="1"/>
    <col min="10245" max="10245" width="13.5703125" style="85" customWidth="1"/>
    <col min="10246" max="10248" width="14.85546875" style="85" customWidth="1"/>
    <col min="10249" max="10250" width="12.5703125" style="85" bestFit="1" customWidth="1"/>
    <col min="10251" max="10494" width="9.140625" style="85"/>
    <col min="10495" max="10496" width="0" style="85" hidden="1" customWidth="1"/>
    <col min="10497" max="10497" width="11.140625" style="85" customWidth="1"/>
    <col min="10498" max="10498" width="43.140625" style="85" customWidth="1"/>
    <col min="10499" max="10500" width="13.28515625" style="85" customWidth="1"/>
    <col min="10501" max="10501" width="13.5703125" style="85" customWidth="1"/>
    <col min="10502" max="10504" width="14.85546875" style="85" customWidth="1"/>
    <col min="10505" max="10506" width="12.5703125" style="85" bestFit="1" customWidth="1"/>
    <col min="10507" max="10750" width="9.140625" style="85"/>
    <col min="10751" max="10752" width="0" style="85" hidden="1" customWidth="1"/>
    <col min="10753" max="10753" width="11.140625" style="85" customWidth="1"/>
    <col min="10754" max="10754" width="43.140625" style="85" customWidth="1"/>
    <col min="10755" max="10756" width="13.28515625" style="85" customWidth="1"/>
    <col min="10757" max="10757" width="13.5703125" style="85" customWidth="1"/>
    <col min="10758" max="10760" width="14.85546875" style="85" customWidth="1"/>
    <col min="10761" max="10762" width="12.5703125" style="85" bestFit="1" customWidth="1"/>
    <col min="10763" max="11006" width="9.140625" style="85"/>
    <col min="11007" max="11008" width="0" style="85" hidden="1" customWidth="1"/>
    <col min="11009" max="11009" width="11.140625" style="85" customWidth="1"/>
    <col min="11010" max="11010" width="43.140625" style="85" customWidth="1"/>
    <col min="11011" max="11012" width="13.28515625" style="85" customWidth="1"/>
    <col min="11013" max="11013" width="13.5703125" style="85" customWidth="1"/>
    <col min="11014" max="11016" width="14.85546875" style="85" customWidth="1"/>
    <col min="11017" max="11018" width="12.5703125" style="85" bestFit="1" customWidth="1"/>
    <col min="11019" max="11262" width="9.140625" style="85"/>
    <col min="11263" max="11264" width="0" style="85" hidden="1" customWidth="1"/>
    <col min="11265" max="11265" width="11.140625" style="85" customWidth="1"/>
    <col min="11266" max="11266" width="43.140625" style="85" customWidth="1"/>
    <col min="11267" max="11268" width="13.28515625" style="85" customWidth="1"/>
    <col min="11269" max="11269" width="13.5703125" style="85" customWidth="1"/>
    <col min="11270" max="11272" width="14.85546875" style="85" customWidth="1"/>
    <col min="11273" max="11274" width="12.5703125" style="85" bestFit="1" customWidth="1"/>
    <col min="11275" max="11518" width="9.140625" style="85"/>
    <col min="11519" max="11520" width="0" style="85" hidden="1" customWidth="1"/>
    <col min="11521" max="11521" width="11.140625" style="85" customWidth="1"/>
    <col min="11522" max="11522" width="43.140625" style="85" customWidth="1"/>
    <col min="11523" max="11524" width="13.28515625" style="85" customWidth="1"/>
    <col min="11525" max="11525" width="13.5703125" style="85" customWidth="1"/>
    <col min="11526" max="11528" width="14.85546875" style="85" customWidth="1"/>
    <col min="11529" max="11530" width="12.5703125" style="85" bestFit="1" customWidth="1"/>
    <col min="11531" max="11774" width="9.140625" style="85"/>
    <col min="11775" max="11776" width="0" style="85" hidden="1" customWidth="1"/>
    <col min="11777" max="11777" width="11.140625" style="85" customWidth="1"/>
    <col min="11778" max="11778" width="43.140625" style="85" customWidth="1"/>
    <col min="11779" max="11780" width="13.28515625" style="85" customWidth="1"/>
    <col min="11781" max="11781" width="13.5703125" style="85" customWidth="1"/>
    <col min="11782" max="11784" width="14.85546875" style="85" customWidth="1"/>
    <col min="11785" max="11786" width="12.5703125" style="85" bestFit="1" customWidth="1"/>
    <col min="11787" max="12030" width="9.140625" style="85"/>
    <col min="12031" max="12032" width="0" style="85" hidden="1" customWidth="1"/>
    <col min="12033" max="12033" width="11.140625" style="85" customWidth="1"/>
    <col min="12034" max="12034" width="43.140625" style="85" customWidth="1"/>
    <col min="12035" max="12036" width="13.28515625" style="85" customWidth="1"/>
    <col min="12037" max="12037" width="13.5703125" style="85" customWidth="1"/>
    <col min="12038" max="12040" width="14.85546875" style="85" customWidth="1"/>
    <col min="12041" max="12042" width="12.5703125" style="85" bestFit="1" customWidth="1"/>
    <col min="12043" max="12286" width="9.140625" style="85"/>
    <col min="12287" max="12288" width="0" style="85" hidden="1" customWidth="1"/>
    <col min="12289" max="12289" width="11.140625" style="85" customWidth="1"/>
    <col min="12290" max="12290" width="43.140625" style="85" customWidth="1"/>
    <col min="12291" max="12292" width="13.28515625" style="85" customWidth="1"/>
    <col min="12293" max="12293" width="13.5703125" style="85" customWidth="1"/>
    <col min="12294" max="12296" width="14.85546875" style="85" customWidth="1"/>
    <col min="12297" max="12298" width="12.5703125" style="85" bestFit="1" customWidth="1"/>
    <col min="12299" max="12542" width="9.140625" style="85"/>
    <col min="12543" max="12544" width="0" style="85" hidden="1" customWidth="1"/>
    <col min="12545" max="12545" width="11.140625" style="85" customWidth="1"/>
    <col min="12546" max="12546" width="43.140625" style="85" customWidth="1"/>
    <col min="12547" max="12548" width="13.28515625" style="85" customWidth="1"/>
    <col min="12549" max="12549" width="13.5703125" style="85" customWidth="1"/>
    <col min="12550" max="12552" width="14.85546875" style="85" customWidth="1"/>
    <col min="12553" max="12554" width="12.5703125" style="85" bestFit="1" customWidth="1"/>
    <col min="12555" max="12798" width="9.140625" style="85"/>
    <col min="12799" max="12800" width="0" style="85" hidden="1" customWidth="1"/>
    <col min="12801" max="12801" width="11.140625" style="85" customWidth="1"/>
    <col min="12802" max="12802" width="43.140625" style="85" customWidth="1"/>
    <col min="12803" max="12804" width="13.28515625" style="85" customWidth="1"/>
    <col min="12805" max="12805" width="13.5703125" style="85" customWidth="1"/>
    <col min="12806" max="12808" width="14.85546875" style="85" customWidth="1"/>
    <col min="12809" max="12810" width="12.5703125" style="85" bestFit="1" customWidth="1"/>
    <col min="12811" max="13054" width="9.140625" style="85"/>
    <col min="13055" max="13056" width="0" style="85" hidden="1" customWidth="1"/>
    <col min="13057" max="13057" width="11.140625" style="85" customWidth="1"/>
    <col min="13058" max="13058" width="43.140625" style="85" customWidth="1"/>
    <col min="13059" max="13060" width="13.28515625" style="85" customWidth="1"/>
    <col min="13061" max="13061" width="13.5703125" style="85" customWidth="1"/>
    <col min="13062" max="13064" width="14.85546875" style="85" customWidth="1"/>
    <col min="13065" max="13066" width="12.5703125" style="85" bestFit="1" customWidth="1"/>
    <col min="13067" max="13310" width="9.140625" style="85"/>
    <col min="13311" max="13312" width="0" style="85" hidden="1" customWidth="1"/>
    <col min="13313" max="13313" width="11.140625" style="85" customWidth="1"/>
    <col min="13314" max="13314" width="43.140625" style="85" customWidth="1"/>
    <col min="13315" max="13316" width="13.28515625" style="85" customWidth="1"/>
    <col min="13317" max="13317" width="13.5703125" style="85" customWidth="1"/>
    <col min="13318" max="13320" width="14.85546875" style="85" customWidth="1"/>
    <col min="13321" max="13322" width="12.5703125" style="85" bestFit="1" customWidth="1"/>
    <col min="13323" max="13566" width="9.140625" style="85"/>
    <col min="13567" max="13568" width="0" style="85" hidden="1" customWidth="1"/>
    <col min="13569" max="13569" width="11.140625" style="85" customWidth="1"/>
    <col min="13570" max="13570" width="43.140625" style="85" customWidth="1"/>
    <col min="13571" max="13572" width="13.28515625" style="85" customWidth="1"/>
    <col min="13573" max="13573" width="13.5703125" style="85" customWidth="1"/>
    <col min="13574" max="13576" width="14.85546875" style="85" customWidth="1"/>
    <col min="13577" max="13578" width="12.5703125" style="85" bestFit="1" customWidth="1"/>
    <col min="13579" max="13822" width="9.140625" style="85"/>
    <col min="13823" max="13824" width="0" style="85" hidden="1" customWidth="1"/>
    <col min="13825" max="13825" width="11.140625" style="85" customWidth="1"/>
    <col min="13826" max="13826" width="43.140625" style="85" customWidth="1"/>
    <col min="13827" max="13828" width="13.28515625" style="85" customWidth="1"/>
    <col min="13829" max="13829" width="13.5703125" style="85" customWidth="1"/>
    <col min="13830" max="13832" width="14.85546875" style="85" customWidth="1"/>
    <col min="13833" max="13834" width="12.5703125" style="85" bestFit="1" customWidth="1"/>
    <col min="13835" max="14078" width="9.140625" style="85"/>
    <col min="14079" max="14080" width="0" style="85" hidden="1" customWidth="1"/>
    <col min="14081" max="14081" width="11.140625" style="85" customWidth="1"/>
    <col min="14082" max="14082" width="43.140625" style="85" customWidth="1"/>
    <col min="14083" max="14084" width="13.28515625" style="85" customWidth="1"/>
    <col min="14085" max="14085" width="13.5703125" style="85" customWidth="1"/>
    <col min="14086" max="14088" width="14.85546875" style="85" customWidth="1"/>
    <col min="14089" max="14090" width="12.5703125" style="85" bestFit="1" customWidth="1"/>
    <col min="14091" max="14334" width="9.140625" style="85"/>
    <col min="14335" max="14336" width="0" style="85" hidden="1" customWidth="1"/>
    <col min="14337" max="14337" width="11.140625" style="85" customWidth="1"/>
    <col min="14338" max="14338" width="43.140625" style="85" customWidth="1"/>
    <col min="14339" max="14340" width="13.28515625" style="85" customWidth="1"/>
    <col min="14341" max="14341" width="13.5703125" style="85" customWidth="1"/>
    <col min="14342" max="14344" width="14.85546875" style="85" customWidth="1"/>
    <col min="14345" max="14346" width="12.5703125" style="85" bestFit="1" customWidth="1"/>
    <col min="14347" max="14590" width="9.140625" style="85"/>
    <col min="14591" max="14592" width="0" style="85" hidden="1" customWidth="1"/>
    <col min="14593" max="14593" width="11.140625" style="85" customWidth="1"/>
    <col min="14594" max="14594" width="43.140625" style="85" customWidth="1"/>
    <col min="14595" max="14596" width="13.28515625" style="85" customWidth="1"/>
    <col min="14597" max="14597" width="13.5703125" style="85" customWidth="1"/>
    <col min="14598" max="14600" width="14.85546875" style="85" customWidth="1"/>
    <col min="14601" max="14602" width="12.5703125" style="85" bestFit="1" customWidth="1"/>
    <col min="14603" max="14846" width="9.140625" style="85"/>
    <col min="14847" max="14848" width="0" style="85" hidden="1" customWidth="1"/>
    <col min="14849" max="14849" width="11.140625" style="85" customWidth="1"/>
    <col min="14850" max="14850" width="43.140625" style="85" customWidth="1"/>
    <col min="14851" max="14852" width="13.28515625" style="85" customWidth="1"/>
    <col min="14853" max="14853" width="13.5703125" style="85" customWidth="1"/>
    <col min="14854" max="14856" width="14.85546875" style="85" customWidth="1"/>
    <col min="14857" max="14858" width="12.5703125" style="85" bestFit="1" customWidth="1"/>
    <col min="14859" max="15102" width="9.140625" style="85"/>
    <col min="15103" max="15104" width="0" style="85" hidden="1" customWidth="1"/>
    <col min="15105" max="15105" width="11.140625" style="85" customWidth="1"/>
    <col min="15106" max="15106" width="43.140625" style="85" customWidth="1"/>
    <col min="15107" max="15108" width="13.28515625" style="85" customWidth="1"/>
    <col min="15109" max="15109" width="13.5703125" style="85" customWidth="1"/>
    <col min="15110" max="15112" width="14.85546875" style="85" customWidth="1"/>
    <col min="15113" max="15114" width="12.5703125" style="85" bestFit="1" customWidth="1"/>
    <col min="15115" max="15358" width="9.140625" style="85"/>
    <col min="15359" max="15360" width="0" style="85" hidden="1" customWidth="1"/>
    <col min="15361" max="15361" width="11.140625" style="85" customWidth="1"/>
    <col min="15362" max="15362" width="43.140625" style="85" customWidth="1"/>
    <col min="15363" max="15364" width="13.28515625" style="85" customWidth="1"/>
    <col min="15365" max="15365" width="13.5703125" style="85" customWidth="1"/>
    <col min="15366" max="15368" width="14.85546875" style="85" customWidth="1"/>
    <col min="15369" max="15370" width="12.5703125" style="85" bestFit="1" customWidth="1"/>
    <col min="15371" max="15614" width="9.140625" style="85"/>
    <col min="15615" max="15616" width="0" style="85" hidden="1" customWidth="1"/>
    <col min="15617" max="15617" width="11.140625" style="85" customWidth="1"/>
    <col min="15618" max="15618" width="43.140625" style="85" customWidth="1"/>
    <col min="15619" max="15620" width="13.28515625" style="85" customWidth="1"/>
    <col min="15621" max="15621" width="13.5703125" style="85" customWidth="1"/>
    <col min="15622" max="15624" width="14.85546875" style="85" customWidth="1"/>
    <col min="15625" max="15626" width="12.5703125" style="85" bestFit="1" customWidth="1"/>
    <col min="15627" max="15870" width="9.140625" style="85"/>
    <col min="15871" max="15872" width="0" style="85" hidden="1" customWidth="1"/>
    <col min="15873" max="15873" width="11.140625" style="85" customWidth="1"/>
    <col min="15874" max="15874" width="43.140625" style="85" customWidth="1"/>
    <col min="15875" max="15876" width="13.28515625" style="85" customWidth="1"/>
    <col min="15877" max="15877" width="13.5703125" style="85" customWidth="1"/>
    <col min="15878" max="15880" width="14.85546875" style="85" customWidth="1"/>
    <col min="15881" max="15882" width="12.5703125" style="85" bestFit="1" customWidth="1"/>
    <col min="15883" max="16126" width="9.140625" style="85"/>
    <col min="16127" max="16128" width="0" style="85" hidden="1" customWidth="1"/>
    <col min="16129" max="16129" width="11.140625" style="85" customWidth="1"/>
    <col min="16130" max="16130" width="43.140625" style="85" customWidth="1"/>
    <col min="16131" max="16132" width="13.28515625" style="85" customWidth="1"/>
    <col min="16133" max="16133" width="13.5703125" style="85" customWidth="1"/>
    <col min="16134" max="16136" width="14.85546875" style="85" customWidth="1"/>
    <col min="16137" max="16138" width="12.5703125" style="85" bestFit="1" customWidth="1"/>
    <col min="16139" max="16384" width="9.140625" style="85"/>
  </cols>
  <sheetData>
    <row r="1" spans="1:22" ht="15" customHeight="1" x14ac:dyDescent="0.2">
      <c r="A1" s="21" t="s">
        <v>65</v>
      </c>
    </row>
    <row r="2" spans="1:22" ht="27.75" customHeight="1" x14ac:dyDescent="0.15">
      <c r="A2" s="705" t="s">
        <v>889</v>
      </c>
      <c r="B2" s="705"/>
      <c r="C2" s="705"/>
      <c r="D2" s="705"/>
      <c r="E2" s="705"/>
      <c r="F2" s="705"/>
      <c r="G2" s="705"/>
      <c r="H2" s="705"/>
      <c r="I2" s="705"/>
      <c r="J2" s="705"/>
    </row>
    <row r="4" spans="1:22" ht="18" customHeight="1" x14ac:dyDescent="0.15">
      <c r="A4" s="687" t="s">
        <v>68</v>
      </c>
      <c r="B4" s="687"/>
      <c r="C4" s="687"/>
      <c r="D4" s="687"/>
      <c r="E4" s="687"/>
      <c r="F4" s="687"/>
      <c r="G4" s="687"/>
      <c r="H4" s="687"/>
      <c r="I4" s="687"/>
      <c r="J4" s="687"/>
      <c r="L4" s="475"/>
    </row>
    <row r="5" spans="1:22" ht="12" customHeight="1" thickBot="1" x14ac:dyDescent="0.2">
      <c r="F5" s="87"/>
      <c r="G5" s="87"/>
      <c r="I5" s="87"/>
      <c r="J5" s="87" t="s">
        <v>232</v>
      </c>
      <c r="L5" s="475"/>
    </row>
    <row r="6" spans="1:22" ht="18" customHeight="1" thickBot="1" x14ac:dyDescent="0.2">
      <c r="A6" s="679" t="s">
        <v>197</v>
      </c>
      <c r="B6" s="680"/>
      <c r="C6" s="88">
        <v>2018</v>
      </c>
      <c r="D6" s="88">
        <v>2019</v>
      </c>
      <c r="E6" s="88">
        <v>2020</v>
      </c>
      <c r="F6" s="88" t="s">
        <v>200</v>
      </c>
      <c r="G6" s="88" t="s">
        <v>298</v>
      </c>
      <c r="H6" s="88" t="s">
        <v>460</v>
      </c>
      <c r="I6" s="88" t="s">
        <v>878</v>
      </c>
      <c r="J6" s="90" t="s">
        <v>879</v>
      </c>
      <c r="K6" s="476"/>
      <c r="L6" s="477"/>
      <c r="M6" s="477"/>
      <c r="P6" s="478"/>
      <c r="Q6" s="478"/>
      <c r="R6" s="478"/>
      <c r="S6" s="478"/>
      <c r="T6" s="478"/>
      <c r="U6" s="478"/>
      <c r="V6" s="478"/>
    </row>
    <row r="7" spans="1:22" ht="15" customHeight="1" x14ac:dyDescent="0.15">
      <c r="A7" s="701" t="s">
        <v>201</v>
      </c>
      <c r="B7" s="702"/>
      <c r="C7" s="91">
        <v>6849.2244123600003</v>
      </c>
      <c r="D7" s="91">
        <v>7461.8069657899996</v>
      </c>
      <c r="E7" s="91">
        <v>7028.05</v>
      </c>
      <c r="F7" s="91">
        <v>6307.2</v>
      </c>
      <c r="G7" s="91">
        <v>6477.2</v>
      </c>
      <c r="H7" s="91">
        <v>6877.2</v>
      </c>
      <c r="I7" s="91">
        <v>7077.2</v>
      </c>
      <c r="J7" s="92">
        <v>7427.2</v>
      </c>
      <c r="K7" s="476"/>
      <c r="L7" s="477"/>
      <c r="M7" s="477"/>
      <c r="P7" s="478"/>
      <c r="Q7" s="478"/>
      <c r="R7" s="478"/>
      <c r="S7" s="478"/>
      <c r="T7" s="478"/>
      <c r="U7" s="478"/>
      <c r="V7" s="478"/>
    </row>
    <row r="8" spans="1:22" ht="15" customHeight="1" x14ac:dyDescent="0.15">
      <c r="A8" s="703" t="s">
        <v>202</v>
      </c>
      <c r="B8" s="704" t="s">
        <v>202</v>
      </c>
      <c r="C8" s="93">
        <v>563.85013667999999</v>
      </c>
      <c r="D8" s="93">
        <v>703.92454936000001</v>
      </c>
      <c r="E8" s="93">
        <v>618.72799999999995</v>
      </c>
      <c r="F8" s="93">
        <v>647.4</v>
      </c>
      <c r="G8" s="93">
        <v>408.26499999999999</v>
      </c>
      <c r="H8" s="93">
        <v>368.99799999999999</v>
      </c>
      <c r="I8" s="93">
        <v>342.95400000000001</v>
      </c>
      <c r="J8" s="95">
        <v>343.154</v>
      </c>
      <c r="K8" s="476"/>
      <c r="L8" s="477"/>
      <c r="M8" s="477"/>
      <c r="P8" s="478"/>
      <c r="Q8" s="478"/>
      <c r="R8" s="478"/>
      <c r="S8" s="478"/>
      <c r="T8" s="478"/>
      <c r="U8" s="478"/>
      <c r="V8" s="478"/>
    </row>
    <row r="9" spans="1:22" ht="15" customHeight="1" x14ac:dyDescent="0.15">
      <c r="A9" s="683" t="s">
        <v>203</v>
      </c>
      <c r="B9" s="684" t="s">
        <v>203</v>
      </c>
      <c r="C9" s="93">
        <v>15569.868696479998</v>
      </c>
      <c r="D9" s="93">
        <v>18353.186900029999</v>
      </c>
      <c r="E9" s="93">
        <v>21346.588</v>
      </c>
      <c r="F9" s="93">
        <v>21711.144</v>
      </c>
      <c r="G9" s="93">
        <v>23097.498</v>
      </c>
      <c r="H9" s="93">
        <v>22785.172999999999</v>
      </c>
      <c r="I9" s="93">
        <v>23871.422999999999</v>
      </c>
      <c r="J9" s="95">
        <v>24100.945</v>
      </c>
      <c r="K9" s="476"/>
      <c r="L9" s="477"/>
      <c r="M9" s="477"/>
      <c r="P9" s="478"/>
      <c r="Q9" s="478"/>
      <c r="R9" s="478"/>
      <c r="S9" s="478"/>
      <c r="T9" s="478"/>
      <c r="U9" s="478"/>
      <c r="V9" s="478"/>
    </row>
    <row r="10" spans="1:22" ht="15" customHeight="1" x14ac:dyDescent="0.15">
      <c r="A10" s="697" t="s">
        <v>204</v>
      </c>
      <c r="B10" s="698" t="s">
        <v>205</v>
      </c>
      <c r="C10" s="96">
        <f>SUM(C7:C9)</f>
        <v>22982.94324552</v>
      </c>
      <c r="D10" s="96">
        <v>26518.91841518</v>
      </c>
      <c r="E10" s="96">
        <v>28993.366000000002</v>
      </c>
      <c r="F10" s="96">
        <f t="shared" ref="F10:J10" si="0">SUM(F7:F9)</f>
        <v>28665.743999999999</v>
      </c>
      <c r="G10" s="96">
        <f t="shared" si="0"/>
        <v>29982.963</v>
      </c>
      <c r="H10" s="96">
        <f t="shared" si="0"/>
        <v>30031.370999999999</v>
      </c>
      <c r="I10" s="96">
        <f t="shared" si="0"/>
        <v>31291.576999999997</v>
      </c>
      <c r="J10" s="97">
        <f t="shared" si="0"/>
        <v>31871.298999999999</v>
      </c>
      <c r="M10" s="479"/>
      <c r="N10" s="479"/>
      <c r="O10" s="479"/>
      <c r="P10" s="479"/>
      <c r="Q10" s="479"/>
      <c r="R10" s="479"/>
      <c r="S10" s="479"/>
      <c r="T10" s="479"/>
      <c r="U10" s="479"/>
      <c r="V10" s="479"/>
    </row>
    <row r="11" spans="1:22" ht="28.5" customHeight="1" thickBot="1" x14ac:dyDescent="0.25">
      <c r="A11" s="699" t="s">
        <v>206</v>
      </c>
      <c r="B11" s="700"/>
      <c r="C11" s="480">
        <v>2116.1129810299999</v>
      </c>
      <c r="D11" s="480">
        <v>2184.0676429999999</v>
      </c>
      <c r="E11" s="480">
        <v>1787.8765310000001</v>
      </c>
      <c r="F11" s="480">
        <v>2009.58</v>
      </c>
      <c r="G11" s="480">
        <v>3578.72023429</v>
      </c>
      <c r="H11" s="480">
        <v>4222.483234289999</v>
      </c>
      <c r="I11" s="480">
        <v>4663.925774289999</v>
      </c>
      <c r="J11" s="481">
        <v>4357.0254442900005</v>
      </c>
      <c r="K11" s="476"/>
      <c r="L11" s="476"/>
      <c r="M11" s="476"/>
      <c r="N11" s="482"/>
      <c r="O11" s="482"/>
      <c r="P11" s="483"/>
      <c r="Q11" s="483"/>
      <c r="R11" s="483"/>
      <c r="S11" s="483"/>
      <c r="T11" s="483"/>
      <c r="U11" s="483"/>
      <c r="V11" s="483"/>
    </row>
    <row r="12" spans="1:22" ht="28.5" customHeight="1" thickBot="1" x14ac:dyDescent="0.2">
      <c r="A12" s="667" t="s">
        <v>207</v>
      </c>
      <c r="B12" s="668" t="s">
        <v>208</v>
      </c>
      <c r="C12" s="98">
        <f t="shared" ref="C12:J12" si="1">C11/C10</f>
        <v>9.2073193516782836E-2</v>
      </c>
      <c r="D12" s="98">
        <f t="shared" si="1"/>
        <v>8.2358850719559978E-2</v>
      </c>
      <c r="E12" s="98">
        <f t="shared" si="1"/>
        <v>6.1665021267278866E-2</v>
      </c>
      <c r="F12" s="98">
        <f t="shared" si="1"/>
        <v>7.0103884273856623E-2</v>
      </c>
      <c r="G12" s="98">
        <f t="shared" si="1"/>
        <v>0.11935845814471371</v>
      </c>
      <c r="H12" s="98">
        <f t="shared" si="1"/>
        <v>0.14060241319951725</v>
      </c>
      <c r="I12" s="98">
        <f t="shared" si="1"/>
        <v>0.14904732268015763</v>
      </c>
      <c r="J12" s="99">
        <f t="shared" si="1"/>
        <v>0.13670686733822807</v>
      </c>
      <c r="K12" s="476"/>
      <c r="L12" s="476"/>
      <c r="M12" s="476"/>
      <c r="N12" s="482"/>
      <c r="O12" s="482"/>
      <c r="P12" s="483"/>
      <c r="Q12" s="483"/>
      <c r="R12" s="483"/>
      <c r="S12" s="483"/>
      <c r="T12" s="483"/>
      <c r="U12" s="483"/>
      <c r="V12" s="483"/>
    </row>
    <row r="13" spans="1:22" ht="11.25" hidden="1" x14ac:dyDescent="0.15">
      <c r="A13" s="100" t="s">
        <v>209</v>
      </c>
      <c r="B13" s="101" t="s">
        <v>210</v>
      </c>
      <c r="K13" s="476"/>
      <c r="L13" s="476"/>
      <c r="M13" s="484"/>
      <c r="N13" s="482"/>
      <c r="O13" s="482"/>
      <c r="P13" s="483"/>
      <c r="Q13" s="483"/>
      <c r="R13" s="483"/>
      <c r="S13" s="483"/>
      <c r="T13" s="483"/>
      <c r="U13" s="483"/>
      <c r="V13" s="483"/>
    </row>
    <row r="14" spans="1:22" ht="11.25" hidden="1" x14ac:dyDescent="0.15">
      <c r="A14" s="100" t="s">
        <v>211</v>
      </c>
      <c r="B14" s="101" t="s">
        <v>212</v>
      </c>
      <c r="K14" s="476"/>
      <c r="L14" s="476"/>
      <c r="M14" s="484"/>
      <c r="N14" s="482"/>
      <c r="O14" s="482"/>
      <c r="P14" s="483"/>
      <c r="Q14" s="483"/>
      <c r="R14" s="483"/>
      <c r="S14" s="483"/>
      <c r="T14" s="483"/>
      <c r="U14" s="483"/>
      <c r="V14" s="483"/>
    </row>
    <row r="15" spans="1:22" ht="45.75" hidden="1" customHeight="1" x14ac:dyDescent="0.15">
      <c r="K15" s="476"/>
      <c r="L15" s="476"/>
      <c r="M15" s="476"/>
      <c r="N15" s="482"/>
      <c r="O15" s="482"/>
      <c r="P15" s="483"/>
      <c r="Q15" s="483"/>
      <c r="R15" s="483"/>
      <c r="S15" s="483"/>
      <c r="T15" s="483"/>
      <c r="U15" s="483"/>
      <c r="V15" s="483"/>
    </row>
    <row r="16" spans="1:22" s="102" customFormat="1" ht="17.25" hidden="1" customHeight="1" x14ac:dyDescent="0.15">
      <c r="A16" s="687" t="s">
        <v>461</v>
      </c>
      <c r="B16" s="687"/>
      <c r="C16" s="687"/>
      <c r="D16" s="687"/>
      <c r="E16" s="687"/>
      <c r="F16" s="687"/>
      <c r="G16" s="687"/>
      <c r="H16" s="687"/>
      <c r="I16" s="85"/>
      <c r="J16" s="85"/>
      <c r="K16" s="476"/>
      <c r="L16" s="476"/>
      <c r="M16" s="476"/>
      <c r="N16" s="485"/>
      <c r="O16" s="485"/>
      <c r="P16" s="486"/>
      <c r="Q16" s="486"/>
      <c r="R16" s="486"/>
      <c r="S16" s="486"/>
      <c r="T16" s="486"/>
      <c r="U16" s="486"/>
      <c r="V16" s="486"/>
    </row>
    <row r="17" spans="1:22" ht="11.25" hidden="1" customHeight="1" thickBot="1" x14ac:dyDescent="0.25">
      <c r="A17" s="86"/>
      <c r="F17" s="87"/>
      <c r="G17" s="87"/>
      <c r="H17" s="87" t="s">
        <v>299</v>
      </c>
      <c r="I17" s="87"/>
      <c r="J17" s="87"/>
      <c r="K17" s="476"/>
      <c r="L17" s="476"/>
      <c r="M17" s="476"/>
      <c r="N17" s="479"/>
      <c r="O17" s="479"/>
      <c r="P17" s="483"/>
      <c r="Q17" s="483"/>
      <c r="R17" s="483"/>
      <c r="S17" s="483"/>
      <c r="T17" s="483"/>
      <c r="U17" s="483"/>
      <c r="V17" s="483"/>
    </row>
    <row r="18" spans="1:22" ht="18" hidden="1" customHeight="1" thickBot="1" x14ac:dyDescent="0.2">
      <c r="A18" s="679" t="s">
        <v>197</v>
      </c>
      <c r="B18" s="680"/>
      <c r="C18" s="88">
        <v>2018</v>
      </c>
      <c r="D18" s="88" t="s">
        <v>198</v>
      </c>
      <c r="E18" s="89" t="s">
        <v>199</v>
      </c>
      <c r="F18" s="89" t="s">
        <v>200</v>
      </c>
      <c r="G18" s="89" t="s">
        <v>298</v>
      </c>
      <c r="H18" s="90" t="s">
        <v>460</v>
      </c>
      <c r="I18" s="90"/>
      <c r="J18" s="90"/>
      <c r="K18" s="476"/>
      <c r="L18" s="477"/>
      <c r="M18" s="477"/>
      <c r="P18" s="478"/>
      <c r="Q18" s="478"/>
      <c r="R18" s="478"/>
      <c r="S18" s="478"/>
      <c r="T18" s="478"/>
      <c r="U18" s="478"/>
      <c r="V18" s="478"/>
    </row>
    <row r="19" spans="1:22" ht="17.25" hidden="1" customHeight="1" thickBot="1" x14ac:dyDescent="0.2">
      <c r="A19" s="695" t="s">
        <v>201</v>
      </c>
      <c r="B19" s="696"/>
      <c r="C19" s="103">
        <f t="shared" ref="C19:H21" si="2">C7</f>
        <v>6849.2244123600003</v>
      </c>
      <c r="D19" s="103">
        <f t="shared" si="2"/>
        <v>7461.8069657899996</v>
      </c>
      <c r="E19" s="105">
        <f t="shared" si="2"/>
        <v>7028.05</v>
      </c>
      <c r="F19" s="105">
        <f t="shared" si="2"/>
        <v>6307.2</v>
      </c>
      <c r="G19" s="105">
        <f t="shared" si="2"/>
        <v>6477.2</v>
      </c>
      <c r="H19" s="104">
        <f t="shared" si="2"/>
        <v>6877.2</v>
      </c>
      <c r="I19" s="104"/>
      <c r="J19" s="104"/>
      <c r="P19" s="476"/>
      <c r="Q19" s="476"/>
      <c r="R19" s="476"/>
      <c r="S19" s="476"/>
      <c r="T19" s="476"/>
      <c r="U19" s="476"/>
      <c r="V19" s="476"/>
    </row>
    <row r="20" spans="1:22" ht="17.25" hidden="1" customHeight="1" thickBot="1" x14ac:dyDescent="0.2">
      <c r="A20" s="683" t="s">
        <v>202</v>
      </c>
      <c r="B20" s="684"/>
      <c r="C20" s="103">
        <f t="shared" si="2"/>
        <v>563.85013667999999</v>
      </c>
      <c r="D20" s="103">
        <f t="shared" si="2"/>
        <v>703.92454936000001</v>
      </c>
      <c r="E20" s="105">
        <f t="shared" si="2"/>
        <v>618.72799999999995</v>
      </c>
      <c r="F20" s="105">
        <f t="shared" si="2"/>
        <v>647.4</v>
      </c>
      <c r="G20" s="105">
        <f t="shared" si="2"/>
        <v>408.26499999999999</v>
      </c>
      <c r="H20" s="104">
        <f t="shared" si="2"/>
        <v>368.99799999999999</v>
      </c>
      <c r="I20" s="104"/>
      <c r="J20" s="104"/>
      <c r="K20" s="478"/>
      <c r="L20" s="484"/>
      <c r="M20" s="484"/>
      <c r="N20" s="484"/>
      <c r="O20" s="484"/>
      <c r="P20" s="487"/>
      <c r="Q20" s="487"/>
      <c r="R20" s="487"/>
      <c r="S20" s="487"/>
      <c r="T20" s="487"/>
      <c r="U20" s="487"/>
      <c r="V20" s="487"/>
    </row>
    <row r="21" spans="1:22" ht="42" hidden="1" customHeight="1" x14ac:dyDescent="0.15">
      <c r="A21" s="683" t="s">
        <v>203</v>
      </c>
      <c r="B21" s="684"/>
      <c r="C21" s="103">
        <f t="shared" si="2"/>
        <v>15569.868696479998</v>
      </c>
      <c r="D21" s="103">
        <f t="shared" si="2"/>
        <v>18353.186900029999</v>
      </c>
      <c r="E21" s="105">
        <f t="shared" si="2"/>
        <v>21346.588</v>
      </c>
      <c r="F21" s="105">
        <f t="shared" si="2"/>
        <v>21711.144</v>
      </c>
      <c r="G21" s="105">
        <f t="shared" si="2"/>
        <v>23097.498</v>
      </c>
      <c r="H21" s="104">
        <f t="shared" si="2"/>
        <v>22785.172999999999</v>
      </c>
      <c r="I21" s="104"/>
      <c r="J21" s="104"/>
      <c r="L21" s="476"/>
      <c r="N21" s="488"/>
      <c r="O21" s="488"/>
      <c r="P21" s="489"/>
      <c r="Q21" s="489"/>
      <c r="R21" s="489"/>
      <c r="S21" s="489"/>
      <c r="T21" s="489"/>
      <c r="U21" s="489"/>
      <c r="V21" s="489"/>
    </row>
    <row r="22" spans="1:22" ht="16.5" hidden="1" customHeight="1" thickBot="1" x14ac:dyDescent="0.2">
      <c r="A22" s="688" t="s">
        <v>204</v>
      </c>
      <c r="B22" s="689"/>
      <c r="C22" s="106">
        <f t="shared" ref="C22:H22" si="3">SUM(C19:C21)</f>
        <v>22982.94324552</v>
      </c>
      <c r="D22" s="106">
        <f t="shared" si="3"/>
        <v>26518.91841518</v>
      </c>
      <c r="E22" s="106">
        <f t="shared" si="3"/>
        <v>28993.366000000002</v>
      </c>
      <c r="F22" s="106">
        <f t="shared" si="3"/>
        <v>28665.743999999999</v>
      </c>
      <c r="G22" s="106">
        <f t="shared" si="3"/>
        <v>29982.963</v>
      </c>
      <c r="H22" s="107">
        <f t="shared" si="3"/>
        <v>30031.370999999999</v>
      </c>
      <c r="I22" s="107"/>
      <c r="J22" s="107"/>
      <c r="L22" s="476"/>
      <c r="N22" s="485"/>
      <c r="O22" s="485"/>
      <c r="P22" s="489"/>
      <c r="Q22" s="489"/>
      <c r="R22" s="489"/>
      <c r="S22" s="489"/>
      <c r="T22" s="489"/>
      <c r="U22" s="489"/>
      <c r="V22" s="489"/>
    </row>
    <row r="23" spans="1:22" ht="5.25" hidden="1" customHeight="1" thickBot="1" x14ac:dyDescent="0.2">
      <c r="A23" s="108"/>
      <c r="B23" s="109"/>
      <c r="C23" s="109"/>
      <c r="D23" s="110"/>
      <c r="E23" s="110"/>
      <c r="F23" s="110"/>
      <c r="G23" s="110"/>
      <c r="H23" s="111"/>
      <c r="I23" s="111"/>
      <c r="J23" s="111"/>
      <c r="L23" s="690"/>
      <c r="M23" s="691"/>
      <c r="N23" s="694"/>
      <c r="O23" s="694"/>
      <c r="P23" s="489"/>
      <c r="Q23" s="489"/>
      <c r="R23" s="489"/>
      <c r="S23" s="489"/>
      <c r="T23" s="489"/>
      <c r="U23" s="489"/>
      <c r="V23" s="489"/>
    </row>
    <row r="24" spans="1:22" ht="15" hidden="1" customHeight="1" x14ac:dyDescent="0.15">
      <c r="A24" s="695" t="s">
        <v>213</v>
      </c>
      <c r="B24" s="696"/>
      <c r="C24" s="105">
        <v>2372.51298103</v>
      </c>
      <c r="D24" s="105">
        <v>2514.7914584600003</v>
      </c>
      <c r="E24" s="105">
        <v>1944.6391734600002</v>
      </c>
      <c r="F24" s="105">
        <v>1610.8288877499999</v>
      </c>
      <c r="G24" s="105">
        <v>1497.4428578700004</v>
      </c>
      <c r="H24" s="104">
        <v>725.87657216000002</v>
      </c>
      <c r="I24" s="104"/>
      <c r="J24" s="104"/>
    </row>
    <row r="25" spans="1:22" ht="15" hidden="1" customHeight="1" x14ac:dyDescent="0.15">
      <c r="A25" s="683" t="s">
        <v>214</v>
      </c>
      <c r="B25" s="684"/>
      <c r="C25" s="94">
        <v>71.259</v>
      </c>
      <c r="D25" s="94">
        <v>72.3</v>
      </c>
      <c r="E25" s="94">
        <v>72.099999999999994</v>
      </c>
      <c r="F25" s="94">
        <v>72.099999999999994</v>
      </c>
      <c r="G25" s="94">
        <v>72.099999999999994</v>
      </c>
      <c r="H25" s="95">
        <v>0</v>
      </c>
      <c r="I25" s="95"/>
      <c r="J25" s="95"/>
    </row>
    <row r="26" spans="1:22" ht="15" hidden="1" customHeight="1" x14ac:dyDescent="0.15">
      <c r="A26" s="683" t="s">
        <v>215</v>
      </c>
      <c r="B26" s="684"/>
      <c r="C26" s="94">
        <v>0</v>
      </c>
      <c r="D26" s="94">
        <v>0</v>
      </c>
      <c r="E26" s="94">
        <v>0</v>
      </c>
      <c r="F26" s="94">
        <v>0</v>
      </c>
      <c r="G26" s="94">
        <v>0</v>
      </c>
      <c r="H26" s="95">
        <v>0</v>
      </c>
      <c r="I26" s="95"/>
      <c r="J26" s="95"/>
    </row>
    <row r="27" spans="1:22" ht="15.75" hidden="1" customHeight="1" thickBot="1" x14ac:dyDescent="0.2">
      <c r="A27" s="671" t="s">
        <v>216</v>
      </c>
      <c r="B27" s="672"/>
      <c r="C27" s="106">
        <f t="shared" ref="C27:H27" si="4">SUM(C24:C26)</f>
        <v>2443.77198103</v>
      </c>
      <c r="D27" s="106">
        <f t="shared" si="4"/>
        <v>2587.0914584600005</v>
      </c>
      <c r="E27" s="106">
        <f t="shared" si="4"/>
        <v>2016.7391734600001</v>
      </c>
      <c r="F27" s="106">
        <f t="shared" si="4"/>
        <v>1682.9288877499998</v>
      </c>
      <c r="G27" s="106">
        <f t="shared" si="4"/>
        <v>1569.5428578700003</v>
      </c>
      <c r="H27" s="107">
        <f t="shared" si="4"/>
        <v>725.87657216000002</v>
      </c>
      <c r="I27" s="107"/>
      <c r="J27" s="107"/>
    </row>
    <row r="28" spans="1:22" ht="3.75" hidden="1" customHeight="1" thickBot="1" x14ac:dyDescent="0.2">
      <c r="A28" s="108"/>
      <c r="B28" s="109"/>
      <c r="C28" s="109"/>
      <c r="D28" s="110"/>
      <c r="E28" s="110"/>
      <c r="F28" s="110"/>
      <c r="G28" s="110"/>
      <c r="H28" s="111"/>
      <c r="I28" s="111"/>
      <c r="J28" s="111"/>
    </row>
    <row r="29" spans="1:22" ht="27" hidden="1" customHeight="1" x14ac:dyDescent="0.15">
      <c r="A29" s="669" t="s">
        <v>217</v>
      </c>
      <c r="B29" s="670"/>
      <c r="C29" s="105">
        <v>2372.51298103</v>
      </c>
      <c r="D29" s="105">
        <v>1777.81228571</v>
      </c>
      <c r="E29" s="105">
        <v>1262.060285</v>
      </c>
      <c r="F29" s="105">
        <v>1031.61028571</v>
      </c>
      <c r="G29" s="105">
        <v>838.56128570999999</v>
      </c>
      <c r="H29" s="104">
        <v>1153.16828571</v>
      </c>
      <c r="I29" s="104"/>
      <c r="J29" s="104"/>
    </row>
    <row r="30" spans="1:22" ht="15" hidden="1" customHeight="1" x14ac:dyDescent="0.15">
      <c r="A30" s="692" t="s">
        <v>218</v>
      </c>
      <c r="B30" s="693"/>
      <c r="C30" s="94">
        <v>71.259</v>
      </c>
      <c r="D30" s="94">
        <v>58.78</v>
      </c>
      <c r="E30" s="94">
        <v>45</v>
      </c>
      <c r="F30" s="94">
        <v>40</v>
      </c>
      <c r="G30" s="94">
        <v>36</v>
      </c>
      <c r="H30" s="95">
        <v>30</v>
      </c>
      <c r="I30" s="95"/>
      <c r="J30" s="95"/>
    </row>
    <row r="31" spans="1:22" ht="15.75" hidden="1" customHeight="1" thickBot="1" x14ac:dyDescent="0.2">
      <c r="A31" s="671" t="s">
        <v>219</v>
      </c>
      <c r="B31" s="672"/>
      <c r="C31" s="106">
        <f t="shared" ref="C31:H31" si="5">SUM(C29:C30)</f>
        <v>2443.77198103</v>
      </c>
      <c r="D31" s="106">
        <f t="shared" si="5"/>
        <v>1836.5922857099999</v>
      </c>
      <c r="E31" s="106">
        <f t="shared" si="5"/>
        <v>1307.060285</v>
      </c>
      <c r="F31" s="106">
        <f t="shared" si="5"/>
        <v>1071.61028571</v>
      </c>
      <c r="G31" s="106">
        <f t="shared" si="5"/>
        <v>874.56128570999999</v>
      </c>
      <c r="H31" s="107">
        <f t="shared" si="5"/>
        <v>1183.16828571</v>
      </c>
      <c r="I31" s="107"/>
      <c r="J31" s="107"/>
    </row>
    <row r="32" spans="1:22" ht="5.25" hidden="1" customHeight="1" thickBot="1" x14ac:dyDescent="0.2">
      <c r="A32" s="108"/>
      <c r="B32" s="109"/>
      <c r="C32" s="109"/>
      <c r="D32" s="110"/>
      <c r="E32" s="110"/>
      <c r="F32" s="110"/>
      <c r="G32" s="110"/>
      <c r="H32" s="111"/>
      <c r="I32" s="111"/>
      <c r="J32" s="111"/>
    </row>
    <row r="33" spans="1:10" ht="15" hidden="1" customHeight="1" x14ac:dyDescent="0.15">
      <c r="A33" s="669" t="s">
        <v>220</v>
      </c>
      <c r="B33" s="670"/>
      <c r="C33" s="105">
        <v>21071.900602579997</v>
      </c>
      <c r="D33" s="105">
        <v>25313.829259999999</v>
      </c>
      <c r="E33" s="105">
        <v>26780.404999999999</v>
      </c>
      <c r="F33" s="105">
        <v>26839.602729999999</v>
      </c>
      <c r="G33" s="105">
        <v>26857.46643</v>
      </c>
      <c r="H33" s="104">
        <v>26917.470999999998</v>
      </c>
      <c r="I33" s="104"/>
      <c r="J33" s="104"/>
    </row>
    <row r="34" spans="1:10" ht="15.75" hidden="1" customHeight="1" thickBot="1" x14ac:dyDescent="0.2">
      <c r="A34" s="671" t="s">
        <v>221</v>
      </c>
      <c r="B34" s="672"/>
      <c r="C34" s="106">
        <f t="shared" ref="C34:G34" si="6">SUM(C33)</f>
        <v>21071.900602579997</v>
      </c>
      <c r="D34" s="106">
        <f t="shared" si="6"/>
        <v>25313.829259999999</v>
      </c>
      <c r="E34" s="106">
        <f t="shared" si="6"/>
        <v>26780.404999999999</v>
      </c>
      <c r="F34" s="106">
        <f t="shared" si="6"/>
        <v>26839.602729999999</v>
      </c>
      <c r="G34" s="106">
        <f t="shared" si="6"/>
        <v>26857.46643</v>
      </c>
      <c r="H34" s="107">
        <f t="shared" ref="H34" si="7">SUM(H33)</f>
        <v>26917.470999999998</v>
      </c>
      <c r="I34" s="107"/>
      <c r="J34" s="107"/>
    </row>
    <row r="35" spans="1:10" ht="3.75" hidden="1" customHeight="1" thickBot="1" x14ac:dyDescent="0.2">
      <c r="A35" s="108"/>
      <c r="B35" s="109"/>
      <c r="C35" s="109"/>
      <c r="D35" s="110"/>
      <c r="E35" s="110"/>
      <c r="F35" s="110"/>
      <c r="G35" s="110"/>
      <c r="H35" s="111"/>
      <c r="I35" s="111"/>
      <c r="J35" s="111"/>
    </row>
    <row r="36" spans="1:10" ht="24.75" hidden="1" customHeight="1" thickBot="1" x14ac:dyDescent="0.2">
      <c r="A36" s="673" t="s">
        <v>222</v>
      </c>
      <c r="B36" s="674"/>
      <c r="C36" s="112">
        <f t="shared" ref="C36:H36" si="8">C22-(C34-C30)</f>
        <v>1982.3016429400013</v>
      </c>
      <c r="D36" s="112">
        <f t="shared" si="8"/>
        <v>1263.8691551800002</v>
      </c>
      <c r="E36" s="112">
        <f t="shared" si="8"/>
        <v>2257.961000000003</v>
      </c>
      <c r="F36" s="112">
        <f t="shared" si="8"/>
        <v>1866.1412700000001</v>
      </c>
      <c r="G36" s="112">
        <f t="shared" si="8"/>
        <v>3161.4965699999993</v>
      </c>
      <c r="H36" s="113">
        <f t="shared" si="8"/>
        <v>3143.9000000000015</v>
      </c>
      <c r="I36" s="113"/>
      <c r="J36" s="113"/>
    </row>
    <row r="37" spans="1:10" ht="6" hidden="1" customHeight="1" thickTop="1" thickBot="1" x14ac:dyDescent="0.2">
      <c r="A37" s="114"/>
      <c r="B37" s="115"/>
      <c r="C37" s="115"/>
      <c r="D37" s="116"/>
      <c r="E37" s="116"/>
      <c r="F37" s="116"/>
      <c r="G37" s="116"/>
      <c r="H37" s="117"/>
      <c r="I37" s="117"/>
      <c r="J37" s="117"/>
    </row>
    <row r="38" spans="1:10" ht="33" hidden="1" customHeight="1" x14ac:dyDescent="0.15">
      <c r="A38" s="675" t="s">
        <v>223</v>
      </c>
      <c r="B38" s="676"/>
      <c r="C38" s="118">
        <f t="shared" ref="C38:H38" si="9">C27/C22</f>
        <v>0.10632980967336973</v>
      </c>
      <c r="D38" s="118">
        <f t="shared" si="9"/>
        <v>9.7556446984621126E-2</v>
      </c>
      <c r="E38" s="118">
        <f t="shared" si="9"/>
        <v>6.9558642258370412E-2</v>
      </c>
      <c r="F38" s="118">
        <f t="shared" si="9"/>
        <v>5.8708711267009148E-2</v>
      </c>
      <c r="G38" s="118">
        <f t="shared" si="9"/>
        <v>5.2347823591350873E-2</v>
      </c>
      <c r="H38" s="119">
        <f t="shared" si="9"/>
        <v>2.4170610531234156E-2</v>
      </c>
      <c r="I38" s="119"/>
      <c r="J38" s="119"/>
    </row>
    <row r="39" spans="1:10" ht="33.75" hidden="1" customHeight="1" x14ac:dyDescent="0.15">
      <c r="A39" s="677" t="s">
        <v>224</v>
      </c>
      <c r="B39" s="678"/>
      <c r="C39" s="120">
        <f>C31/C22</f>
        <v>0.10632980967336973</v>
      </c>
      <c r="D39" s="120">
        <f t="shared" ref="D39:H39" si="10">D31/D22</f>
        <v>6.9255927295235956E-2</v>
      </c>
      <c r="E39" s="120">
        <f t="shared" si="10"/>
        <v>4.5081357059404553E-2</v>
      </c>
      <c r="F39" s="120">
        <f>F31/F22</f>
        <v>3.7382957362278826E-2</v>
      </c>
      <c r="G39" s="120">
        <f t="shared" si="10"/>
        <v>2.9168607709318121E-2</v>
      </c>
      <c r="H39" s="121">
        <f t="shared" si="10"/>
        <v>3.9397744635434724E-2</v>
      </c>
      <c r="I39" s="121"/>
      <c r="J39" s="121"/>
    </row>
    <row r="40" spans="1:10" ht="33" hidden="1" customHeight="1" thickBot="1" x14ac:dyDescent="0.2">
      <c r="A40" s="671" t="s">
        <v>225</v>
      </c>
      <c r="B40" s="672"/>
      <c r="C40" s="122">
        <f t="shared" ref="C40:H40" si="11">C36/C30</f>
        <v>27.818263558848724</v>
      </c>
      <c r="D40" s="122">
        <f t="shared" si="11"/>
        <v>21.501686886355905</v>
      </c>
      <c r="E40" s="122">
        <f t="shared" si="11"/>
        <v>50.176911111111174</v>
      </c>
      <c r="F40" s="122">
        <f t="shared" si="11"/>
        <v>46.653531749999999</v>
      </c>
      <c r="G40" s="122">
        <f t="shared" si="11"/>
        <v>87.819349166666655</v>
      </c>
      <c r="H40" s="123">
        <f t="shared" si="11"/>
        <v>104.79666666666671</v>
      </c>
      <c r="I40" s="123"/>
      <c r="J40" s="123"/>
    </row>
    <row r="41" spans="1:10" ht="35.25" customHeight="1" x14ac:dyDescent="0.15">
      <c r="A41" s="124"/>
      <c r="B41" s="125"/>
      <c r="C41" s="490"/>
    </row>
    <row r="42" spans="1:10" ht="18" customHeight="1" x14ac:dyDescent="0.15">
      <c r="A42" s="687" t="s">
        <v>69</v>
      </c>
      <c r="B42" s="687"/>
      <c r="C42" s="687"/>
      <c r="D42" s="687"/>
      <c r="E42" s="687"/>
      <c r="F42" s="687"/>
      <c r="G42" s="687"/>
      <c r="H42" s="687"/>
      <c r="I42" s="687"/>
      <c r="J42" s="687"/>
    </row>
    <row r="43" spans="1:10" ht="12" thickBot="1" x14ac:dyDescent="0.2">
      <c r="A43" s="100"/>
      <c r="B43" s="101"/>
      <c r="C43" s="102"/>
      <c r="G43" s="87"/>
      <c r="I43" s="87"/>
      <c r="J43" s="87" t="s">
        <v>299</v>
      </c>
    </row>
    <row r="44" spans="1:10" ht="18" customHeight="1" thickBot="1" x14ac:dyDescent="0.2">
      <c r="A44" s="679" t="s">
        <v>197</v>
      </c>
      <c r="B44" s="680"/>
      <c r="C44" s="88">
        <v>2018</v>
      </c>
      <c r="D44" s="88">
        <v>2019</v>
      </c>
      <c r="E44" s="88">
        <v>2020</v>
      </c>
      <c r="F44" s="88" t="s">
        <v>200</v>
      </c>
      <c r="G44" s="88" t="s">
        <v>298</v>
      </c>
      <c r="H44" s="88" t="s">
        <v>460</v>
      </c>
      <c r="I44" s="88" t="s">
        <v>878</v>
      </c>
      <c r="J44" s="90" t="s">
        <v>879</v>
      </c>
    </row>
    <row r="45" spans="1:10" ht="17.25" customHeight="1" x14ac:dyDescent="0.15">
      <c r="A45" s="681" t="s">
        <v>226</v>
      </c>
      <c r="B45" s="682">
        <v>17394.467784840002</v>
      </c>
      <c r="C45" s="91">
        <v>24084.84937855</v>
      </c>
      <c r="D45" s="91">
        <v>27879.472000000002</v>
      </c>
      <c r="E45" s="91">
        <v>30200.325000000001</v>
      </c>
      <c r="F45" s="91">
        <v>30410.682826</v>
      </c>
      <c r="G45" s="91">
        <v>30773.727999999999</v>
      </c>
      <c r="H45" s="91">
        <v>31472.13</v>
      </c>
      <c r="I45" s="91">
        <v>32553.231</v>
      </c>
      <c r="J45" s="92">
        <v>33827.603999999999</v>
      </c>
    </row>
    <row r="46" spans="1:10" ht="17.25" customHeight="1" x14ac:dyDescent="0.15">
      <c r="A46" s="683" t="s">
        <v>227</v>
      </c>
      <c r="B46" s="684"/>
      <c r="C46" s="93">
        <v>21299.262999999999</v>
      </c>
      <c r="D46" s="93">
        <v>23497.412</v>
      </c>
      <c r="E46" s="93">
        <v>25884.942999999999</v>
      </c>
      <c r="F46" s="93">
        <v>30410.682826</v>
      </c>
      <c r="G46" s="93">
        <v>29816.051992577504</v>
      </c>
      <c r="H46" s="93">
        <v>30714.21647458</v>
      </c>
      <c r="I46" s="93">
        <v>31302.442956499999</v>
      </c>
      <c r="J46" s="95">
        <v>32156.67325</v>
      </c>
    </row>
    <row r="47" spans="1:10" ht="17.25" customHeight="1" thickBot="1" x14ac:dyDescent="0.2">
      <c r="A47" s="685" t="s">
        <v>228</v>
      </c>
      <c r="B47" s="686"/>
      <c r="C47" s="533">
        <f t="shared" ref="C47:J47" si="12">C11</f>
        <v>2116.1129810299999</v>
      </c>
      <c r="D47" s="533">
        <f t="shared" si="12"/>
        <v>2184.0676429999999</v>
      </c>
      <c r="E47" s="533">
        <f t="shared" si="12"/>
        <v>1787.8765310000001</v>
      </c>
      <c r="F47" s="533">
        <f t="shared" si="12"/>
        <v>2009.58</v>
      </c>
      <c r="G47" s="533">
        <f t="shared" si="12"/>
        <v>3578.72023429</v>
      </c>
      <c r="H47" s="533">
        <f t="shared" si="12"/>
        <v>4222.483234289999</v>
      </c>
      <c r="I47" s="533">
        <f t="shared" si="12"/>
        <v>4663.925774289999</v>
      </c>
      <c r="J47" s="534">
        <f t="shared" si="12"/>
        <v>4357.0254442900005</v>
      </c>
    </row>
    <row r="48" spans="1:10" ht="19.5" customHeight="1" thickBot="1" x14ac:dyDescent="0.2">
      <c r="A48" s="667" t="s">
        <v>229</v>
      </c>
      <c r="B48" s="668"/>
      <c r="C48" s="98">
        <f t="shared" ref="C48:J48" si="13">(C47)/C46</f>
        <v>9.9351464932378175E-2</v>
      </c>
      <c r="D48" s="98">
        <f t="shared" si="13"/>
        <v>9.2949284925505832E-2</v>
      </c>
      <c r="E48" s="98">
        <f t="shared" si="13"/>
        <v>6.9070135908740463E-2</v>
      </c>
      <c r="F48" s="98">
        <f t="shared" si="13"/>
        <v>6.6081383686718273E-2</v>
      </c>
      <c r="G48" s="98">
        <f t="shared" si="13"/>
        <v>0.12002662978924564</v>
      </c>
      <c r="H48" s="98">
        <f t="shared" si="13"/>
        <v>0.13747650824121305</v>
      </c>
      <c r="I48" s="98">
        <f t="shared" si="13"/>
        <v>0.14899558417121969</v>
      </c>
      <c r="J48" s="99">
        <f t="shared" si="13"/>
        <v>0.13549366286793987</v>
      </c>
    </row>
    <row r="49" spans="1:3" x14ac:dyDescent="0.15">
      <c r="C49" s="491"/>
    </row>
    <row r="50" spans="1:3" ht="10.5" customHeight="1" x14ac:dyDescent="0.15">
      <c r="A50" s="124" t="s">
        <v>880</v>
      </c>
      <c r="B50" s="125"/>
      <c r="C50" s="490"/>
    </row>
    <row r="51" spans="1:3" x14ac:dyDescent="0.15">
      <c r="C51" s="492"/>
    </row>
    <row r="52" spans="1:3" x14ac:dyDescent="0.15">
      <c r="C52" s="493"/>
    </row>
    <row r="53" spans="1:3" x14ac:dyDescent="0.15">
      <c r="C53" s="102"/>
    </row>
    <row r="54" spans="1:3" x14ac:dyDescent="0.15">
      <c r="C54" s="102"/>
    </row>
    <row r="55" spans="1:3" ht="10.5" customHeight="1" x14ac:dyDescent="0.15">
      <c r="C55" s="492"/>
    </row>
    <row r="56" spans="1:3" ht="10.5" customHeight="1" x14ac:dyDescent="0.15">
      <c r="C56" s="494"/>
    </row>
    <row r="57" spans="1:3" ht="10.5" customHeight="1" x14ac:dyDescent="0.15"/>
    <row r="59" spans="1:3" ht="21.75" customHeight="1" x14ac:dyDescent="0.15"/>
    <row r="60" spans="1:3" ht="10.5" customHeight="1" x14ac:dyDescent="0.15"/>
    <row r="62" spans="1:3" ht="11.25" customHeight="1" x14ac:dyDescent="0.15"/>
    <row r="64" spans="1:3" ht="10.5" customHeight="1" x14ac:dyDescent="0.15"/>
    <row r="67" ht="11.25" customHeight="1" x14ac:dyDescent="0.15"/>
    <row r="70" ht="10.5" customHeight="1" x14ac:dyDescent="0.15"/>
    <row r="71" ht="10.5" customHeight="1" x14ac:dyDescent="0.15"/>
    <row r="72" ht="11.25" customHeight="1" x14ac:dyDescent="0.15"/>
    <row r="74" ht="11.25" customHeight="1" x14ac:dyDescent="0.15"/>
    <row r="77" ht="10.5" customHeight="1" x14ac:dyDescent="0.15"/>
    <row r="78" ht="10.5" customHeight="1" x14ac:dyDescent="0.15"/>
    <row r="79" ht="11.25" customHeight="1" x14ac:dyDescent="0.15"/>
  </sheetData>
  <mergeCells count="36">
    <mergeCell ref="A9:B9"/>
    <mergeCell ref="A6:B6"/>
    <mergeCell ref="A7:B7"/>
    <mergeCell ref="A8:B8"/>
    <mergeCell ref="A2:J2"/>
    <mergeCell ref="A4:J4"/>
    <mergeCell ref="N23:O23"/>
    <mergeCell ref="A24:B24"/>
    <mergeCell ref="A10:B10"/>
    <mergeCell ref="A11:B11"/>
    <mergeCell ref="A12:B12"/>
    <mergeCell ref="A16:H16"/>
    <mergeCell ref="A18:B18"/>
    <mergeCell ref="A19:B19"/>
    <mergeCell ref="A31:B31"/>
    <mergeCell ref="A20:B20"/>
    <mergeCell ref="A21:B21"/>
    <mergeCell ref="A22:B22"/>
    <mergeCell ref="L23:M23"/>
    <mergeCell ref="A25:B25"/>
    <mergeCell ref="A26:B26"/>
    <mergeCell ref="A27:B27"/>
    <mergeCell ref="A29:B29"/>
    <mergeCell ref="A30:B30"/>
    <mergeCell ref="A48:B48"/>
    <mergeCell ref="A33:B33"/>
    <mergeCell ref="A34:B34"/>
    <mergeCell ref="A36:B36"/>
    <mergeCell ref="A38:B38"/>
    <mergeCell ref="A39:B39"/>
    <mergeCell ref="A40:B40"/>
    <mergeCell ref="A44:B44"/>
    <mergeCell ref="A45:B45"/>
    <mergeCell ref="A46:B46"/>
    <mergeCell ref="A47:B47"/>
    <mergeCell ref="A42:J42"/>
  </mergeCells>
  <printOptions horizontalCentered="1"/>
  <pageMargins left="0.39370078740157483" right="0.39370078740157483" top="0.59055118110236227" bottom="0.39370078740157483" header="0.31496062992125984" footer="0.11811023622047245"/>
  <pageSetup paperSize="9" scale="83" firstPageNumber="38" orientation="landscape" useFirstPageNumber="1" r:id="rId1"/>
  <headerFooter>
    <oddHeader>&amp;L&amp;"Tahoma,Kurzíva"Střednědobý výhled rozpočtu kraje na léta 2022 - 2025&amp;R&amp;"Tahoma,Kurzíva"Ukazatele zadluženosti</oddHeader>
    <oddFooter>&amp;C&amp;"Tahoma,Obyčejné"&amp;P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00FC5-BF7B-4CEF-A9E5-C8271B54330F}">
  <sheetPr>
    <outlinePr summaryBelow="0"/>
    <pageSetUpPr fitToPage="1"/>
  </sheetPr>
  <dimension ref="A1:H58"/>
  <sheetViews>
    <sheetView zoomScaleNormal="100" zoomScaleSheetLayoutView="100" workbookViewId="0">
      <selection activeCell="H4" sqref="H4"/>
    </sheetView>
  </sheetViews>
  <sheetFormatPr defaultRowHeight="12.75" x14ac:dyDescent="0.2"/>
  <cols>
    <col min="1" max="1" width="62.7109375" style="2" customWidth="1"/>
    <col min="2" max="2" width="13.7109375" style="6" customWidth="1"/>
    <col min="3" max="5" width="13.7109375" style="7" customWidth="1"/>
    <col min="6" max="6" width="12" style="2" customWidth="1"/>
    <col min="7" max="7" width="11.5703125" style="2" customWidth="1"/>
    <col min="8" max="8" width="11.7109375" style="2" customWidth="1"/>
    <col min="9" max="12" width="14.7109375" style="2" customWidth="1"/>
    <col min="13" max="16384" width="9.140625" style="2"/>
  </cols>
  <sheetData>
    <row r="1" spans="1:8" s="22" customFormat="1" ht="15" customHeight="1" x14ac:dyDescent="0.2">
      <c r="A1" s="21" t="s">
        <v>48</v>
      </c>
      <c r="E1" s="23"/>
      <c r="F1" s="24"/>
      <c r="G1" s="24"/>
      <c r="H1" s="24"/>
    </row>
    <row r="2" spans="1:8" s="29" customFormat="1" ht="6" customHeight="1" x14ac:dyDescent="0.25">
      <c r="A2" s="25"/>
      <c r="B2" s="26"/>
      <c r="C2" s="26"/>
      <c r="D2" s="26"/>
      <c r="E2" s="27"/>
      <c r="F2" s="28"/>
      <c r="G2" s="28"/>
      <c r="H2" s="28"/>
    </row>
    <row r="3" spans="1:8" s="29" customFormat="1" ht="36" customHeight="1" x14ac:dyDescent="0.2">
      <c r="A3" s="568" t="s">
        <v>833</v>
      </c>
      <c r="B3" s="568"/>
      <c r="C3" s="568"/>
      <c r="D3" s="568"/>
      <c r="E3" s="568"/>
      <c r="F3" s="568"/>
      <c r="G3" s="568"/>
      <c r="H3" s="568"/>
    </row>
    <row r="4" spans="1:8" s="29" customFormat="1" ht="11.25" customHeight="1" thickBot="1" x14ac:dyDescent="0.25">
      <c r="A4" s="328"/>
      <c r="B4" s="30"/>
      <c r="C4" s="30"/>
      <c r="D4" s="30"/>
      <c r="E4" s="30"/>
      <c r="F4" s="31"/>
      <c r="G4" s="31"/>
      <c r="H4" s="31"/>
    </row>
    <row r="5" spans="1:8" s="1" customFormat="1" ht="43.5" customHeight="1" thickBot="1" x14ac:dyDescent="0.25">
      <c r="A5" s="352" t="s">
        <v>0</v>
      </c>
      <c r="B5" s="11" t="s">
        <v>244</v>
      </c>
      <c r="C5" s="11" t="s">
        <v>302</v>
      </c>
      <c r="D5" s="11" t="s">
        <v>834</v>
      </c>
      <c r="E5" s="12" t="s">
        <v>835</v>
      </c>
    </row>
    <row r="6" spans="1:8" s="354" customFormat="1" ht="16.5" customHeight="1" x14ac:dyDescent="0.2">
      <c r="A6" s="353" t="s">
        <v>1</v>
      </c>
      <c r="B6" s="17">
        <f t="shared" ref="B6:E6" si="0">B7+B8+B9+B10</f>
        <v>30773728</v>
      </c>
      <c r="C6" s="17">
        <f t="shared" si="0"/>
        <v>31472130</v>
      </c>
      <c r="D6" s="17">
        <f t="shared" si="0"/>
        <v>32553231</v>
      </c>
      <c r="E6" s="20">
        <f t="shared" si="0"/>
        <v>33827604</v>
      </c>
    </row>
    <row r="7" spans="1:8" s="1" customFormat="1" ht="16.5" customHeight="1" x14ac:dyDescent="0.2">
      <c r="A7" s="355" t="s">
        <v>2</v>
      </c>
      <c r="B7" s="356">
        <f>B32</f>
        <v>6477200</v>
      </c>
      <c r="C7" s="356">
        <f t="shared" ref="C7:E7" si="1">C32</f>
        <v>6877200</v>
      </c>
      <c r="D7" s="356">
        <f t="shared" si="1"/>
        <v>7077200</v>
      </c>
      <c r="E7" s="357">
        <f t="shared" si="1"/>
        <v>7427200</v>
      </c>
    </row>
    <row r="8" spans="1:8" s="1" customFormat="1" ht="16.5" customHeight="1" x14ac:dyDescent="0.2">
      <c r="A8" s="355" t="s">
        <v>3</v>
      </c>
      <c r="B8" s="356">
        <f>B38</f>
        <v>408265</v>
      </c>
      <c r="C8" s="356">
        <f t="shared" ref="C8:E8" si="2">C38</f>
        <v>368998</v>
      </c>
      <c r="D8" s="356">
        <f t="shared" si="2"/>
        <v>342954</v>
      </c>
      <c r="E8" s="357">
        <f t="shared" si="2"/>
        <v>343154</v>
      </c>
    </row>
    <row r="9" spans="1:8" s="1" customFormat="1" ht="16.5" customHeight="1" x14ac:dyDescent="0.2">
      <c r="A9" s="355" t="s">
        <v>4</v>
      </c>
      <c r="B9" s="356">
        <f>B48</f>
        <v>90446</v>
      </c>
      <c r="C9" s="356">
        <f t="shared" ref="C9:E9" si="3">C48</f>
        <v>21836</v>
      </c>
      <c r="D9" s="356">
        <f t="shared" si="3"/>
        <v>21836</v>
      </c>
      <c r="E9" s="357">
        <f t="shared" si="3"/>
        <v>22052</v>
      </c>
    </row>
    <row r="10" spans="1:8" s="1" customFormat="1" ht="16.5" customHeight="1" x14ac:dyDescent="0.2">
      <c r="A10" s="355" t="s">
        <v>22</v>
      </c>
      <c r="B10" s="356">
        <f>B51+B56+B57</f>
        <v>23797817</v>
      </c>
      <c r="C10" s="356">
        <f>C51+C56+C57</f>
        <v>24204096</v>
      </c>
      <c r="D10" s="356">
        <f>D51+D56+D57</f>
        <v>25111241</v>
      </c>
      <c r="E10" s="357">
        <f>E51+E56+E57</f>
        <v>26035198</v>
      </c>
    </row>
    <row r="11" spans="1:8" s="354" customFormat="1" ht="16.5" customHeight="1" x14ac:dyDescent="0.2">
      <c r="A11" s="353" t="s">
        <v>5</v>
      </c>
      <c r="B11" s="17">
        <f>B12+B13+B14</f>
        <v>1572288</v>
      </c>
      <c r="C11" s="17">
        <f>C12+C13+C14</f>
        <v>723867</v>
      </c>
      <c r="D11" s="17">
        <f>D12+D13+D14</f>
        <v>498160</v>
      </c>
      <c r="E11" s="20">
        <f>E12+E13+E14</f>
        <v>-240920</v>
      </c>
    </row>
    <row r="12" spans="1:8" s="3" customFormat="1" ht="16.5" customHeight="1" x14ac:dyDescent="0.2">
      <c r="A12" s="358" t="s">
        <v>45</v>
      </c>
      <c r="B12" s="356">
        <v>2340348</v>
      </c>
      <c r="C12" s="356">
        <v>2255100</v>
      </c>
      <c r="D12" s="356">
        <v>1860635</v>
      </c>
      <c r="E12" s="357">
        <v>1809180</v>
      </c>
    </row>
    <row r="13" spans="1:8" s="4" customFormat="1" ht="16.5" customHeight="1" x14ac:dyDescent="0.2">
      <c r="A13" s="358" t="s">
        <v>46</v>
      </c>
      <c r="B13" s="356">
        <v>-771547</v>
      </c>
      <c r="C13" s="356">
        <v>-1611342</v>
      </c>
      <c r="D13" s="356">
        <v>-1419200</v>
      </c>
      <c r="E13" s="357">
        <v>-2116065</v>
      </c>
    </row>
    <row r="14" spans="1:8" s="3" customFormat="1" ht="16.5" customHeight="1" x14ac:dyDescent="0.2">
      <c r="A14" s="358" t="s">
        <v>47</v>
      </c>
      <c r="B14" s="356">
        <v>3487</v>
      </c>
      <c r="C14" s="356">
        <v>80109</v>
      </c>
      <c r="D14" s="356">
        <v>56725</v>
      </c>
      <c r="E14" s="357">
        <v>65965</v>
      </c>
    </row>
    <row r="15" spans="1:8" s="354" customFormat="1" ht="16.5" customHeight="1" x14ac:dyDescent="0.2">
      <c r="A15" s="353" t="s">
        <v>7</v>
      </c>
      <c r="B15" s="17">
        <f>B16+B17+B18+B19+B20+B21+B22+B23+B24</f>
        <v>32346016</v>
      </c>
      <c r="C15" s="17">
        <f t="shared" ref="C15:E15" si="4">C16+C17+C18+C19+C20+C21+C22+C23+C24</f>
        <v>32195997</v>
      </c>
      <c r="D15" s="17">
        <f t="shared" si="4"/>
        <v>33051391</v>
      </c>
      <c r="E15" s="20">
        <f t="shared" si="4"/>
        <v>33586684</v>
      </c>
    </row>
    <row r="16" spans="1:8" s="1" customFormat="1" ht="16.5" customHeight="1" x14ac:dyDescent="0.2">
      <c r="A16" s="358" t="s">
        <v>8</v>
      </c>
      <c r="B16" s="356">
        <f>'Tab. 1 VÝDAJE'!B4</f>
        <v>664126</v>
      </c>
      <c r="C16" s="356">
        <f>'Tab. 1 VÝDAJE'!C4</f>
        <v>664126</v>
      </c>
      <c r="D16" s="356">
        <f>'Tab. 1 VÝDAJE'!D4</f>
        <v>669613</v>
      </c>
      <c r="E16" s="357">
        <f>'Tab. 1 VÝDAJE'!E4</f>
        <v>665870</v>
      </c>
    </row>
    <row r="17" spans="1:8" s="1" customFormat="1" ht="16.5" customHeight="1" x14ac:dyDescent="0.2">
      <c r="A17" s="358" t="s">
        <v>9</v>
      </c>
      <c r="B17" s="356">
        <f>'Tab. 1 VÝDAJE'!B5</f>
        <v>223348</v>
      </c>
      <c r="C17" s="356">
        <f>'Tab. 1 VÝDAJE'!C5</f>
        <v>233573</v>
      </c>
      <c r="D17" s="356">
        <f>'Tab. 1 VÝDAJE'!D5</f>
        <v>243198</v>
      </c>
      <c r="E17" s="357">
        <f>'Tab. 1 VÝDAJE'!E5</f>
        <v>243023</v>
      </c>
    </row>
    <row r="18" spans="1:8" s="1" customFormat="1" ht="16.5" customHeight="1" x14ac:dyDescent="0.2">
      <c r="A18" s="358" t="s">
        <v>49</v>
      </c>
      <c r="B18" s="356">
        <f>'Tab. 1 VÝDAJE'!B12</f>
        <v>3078113</v>
      </c>
      <c r="C18" s="356">
        <f>'Tab. 1 VÝDAJE'!C12</f>
        <v>3107316</v>
      </c>
      <c r="D18" s="356">
        <f>'Tab. 1 VÝDAJE'!D12</f>
        <v>3164741</v>
      </c>
      <c r="E18" s="357">
        <f>'Tab. 1 VÝDAJE'!E12</f>
        <v>3580348</v>
      </c>
    </row>
    <row r="19" spans="1:8" s="1" customFormat="1" ht="16.5" customHeight="1" x14ac:dyDescent="0.2">
      <c r="A19" s="358" t="s">
        <v>10</v>
      </c>
      <c r="B19" s="356">
        <f>'Tab. 1 VÝDAJE'!B27</f>
        <v>2634933</v>
      </c>
      <c r="C19" s="356">
        <f>'Tab. 1 VÝDAJE'!C27</f>
        <v>2658033</v>
      </c>
      <c r="D19" s="356">
        <f>'Tab. 1 VÝDAJE'!D27</f>
        <v>2659283</v>
      </c>
      <c r="E19" s="357">
        <f>'Tab. 1 VÝDAJE'!E27</f>
        <v>2658923</v>
      </c>
    </row>
    <row r="20" spans="1:8" s="1" customFormat="1" ht="16.5" customHeight="1" x14ac:dyDescent="0.2">
      <c r="A20" s="358" t="s">
        <v>52</v>
      </c>
      <c r="B20" s="356">
        <f>'Tab. 1 VÝDAJE'!B34</f>
        <v>147467</v>
      </c>
      <c r="C20" s="356">
        <f>'Tab. 1 VÝDAJE'!C34</f>
        <v>121700</v>
      </c>
      <c r="D20" s="356">
        <f>'Tab. 1 VÝDAJE'!D34</f>
        <v>121700</v>
      </c>
      <c r="E20" s="357">
        <f>'Tab. 1 VÝDAJE'!E34</f>
        <v>121700</v>
      </c>
    </row>
    <row r="21" spans="1:8" s="1" customFormat="1" ht="16.5" customHeight="1" x14ac:dyDescent="0.2">
      <c r="A21" s="358" t="s">
        <v>50</v>
      </c>
      <c r="B21" s="356">
        <f>'Tab. 1 VÝDAJE'!B40</f>
        <v>1267929</v>
      </c>
      <c r="C21" s="356">
        <f>'Tab. 1 VÝDAJE'!C40</f>
        <v>1032998</v>
      </c>
      <c r="D21" s="356">
        <f>'Tab. 1 VÝDAJE'!D40</f>
        <v>1344158</v>
      </c>
      <c r="E21" s="357">
        <f>'Tab. 1 VÝDAJE'!E40</f>
        <v>1353597</v>
      </c>
    </row>
    <row r="22" spans="1:8" s="1" customFormat="1" ht="16.5" customHeight="1" x14ac:dyDescent="0.2">
      <c r="A22" s="358" t="s">
        <v>51</v>
      </c>
      <c r="B22" s="356">
        <f>'Tab. 1 VÝDAJE'!B49+'Tab. 1 VÝDAJE'!B62</f>
        <v>2413528</v>
      </c>
      <c r="C22" s="356">
        <f>'Tab. 1 VÝDAJE'!C49+'Tab. 1 VÝDAJE'!C62</f>
        <v>2428499</v>
      </c>
      <c r="D22" s="356">
        <f>'Tab. 1 VÝDAJE'!D49+'Tab. 1 VÝDAJE'!D62</f>
        <v>2801872</v>
      </c>
      <c r="E22" s="357">
        <f>'Tab. 1 VÝDAJE'!E49+'Tab. 1 VÝDAJE'!E62</f>
        <v>2918012</v>
      </c>
    </row>
    <row r="23" spans="1:8" s="1" customFormat="1" ht="16.5" customHeight="1" x14ac:dyDescent="0.2">
      <c r="A23" s="358" t="s">
        <v>836</v>
      </c>
      <c r="B23" s="359">
        <f>'Tab. 1 VÝDAJE'!B64</f>
        <v>250000</v>
      </c>
      <c r="C23" s="359">
        <f>'Tab. 1 VÝDAJE'!C64</f>
        <v>350000</v>
      </c>
      <c r="D23" s="359">
        <f>'Tab. 1 VÝDAJE'!D64</f>
        <v>450000</v>
      </c>
      <c r="E23" s="360">
        <f>'Tab. 1 VÝDAJE'!E64</f>
        <v>450000</v>
      </c>
    </row>
    <row r="24" spans="1:8" s="1" customFormat="1" ht="29.25" customHeight="1" thickBot="1" x14ac:dyDescent="0.25">
      <c r="A24" s="361" t="s">
        <v>189</v>
      </c>
      <c r="B24" s="362">
        <f>'Tab. 1 VÝDAJE'!B38</f>
        <v>21666572</v>
      </c>
      <c r="C24" s="362">
        <f>'Tab. 1 VÝDAJE'!C38</f>
        <v>21599752</v>
      </c>
      <c r="D24" s="362">
        <f>'Tab. 1 VÝDAJE'!D38</f>
        <v>21596826</v>
      </c>
      <c r="E24" s="363">
        <f>'Tab. 1 VÝDAJE'!E38</f>
        <v>21595211</v>
      </c>
    </row>
    <row r="25" spans="1:8" s="1" customFormat="1" ht="20.100000000000001" hidden="1" customHeight="1" thickBot="1" x14ac:dyDescent="0.25">
      <c r="A25" s="18" t="s">
        <v>11</v>
      </c>
      <c r="B25" s="19">
        <f>B6+B11-B15</f>
        <v>0</v>
      </c>
      <c r="C25" s="19">
        <f>C6+C11-C15</f>
        <v>0</v>
      </c>
      <c r="D25" s="19">
        <f>D6+D11-D15</f>
        <v>0</v>
      </c>
      <c r="E25" s="19">
        <f>E6+E11-E15</f>
        <v>0</v>
      </c>
    </row>
    <row r="26" spans="1:8" ht="12" customHeight="1" x14ac:dyDescent="0.2">
      <c r="A26" s="364"/>
      <c r="B26" s="365"/>
      <c r="C26" s="365"/>
      <c r="D26" s="365"/>
      <c r="E26" s="365"/>
    </row>
    <row r="27" spans="1:8" ht="12" customHeight="1" x14ac:dyDescent="0.2">
      <c r="A27" s="364"/>
      <c r="B27" s="365"/>
      <c r="C27" s="365"/>
      <c r="D27" s="365"/>
      <c r="E27" s="365"/>
    </row>
    <row r="28" spans="1:8" ht="12" customHeight="1" x14ac:dyDescent="0.2">
      <c r="A28" s="364"/>
      <c r="B28" s="366"/>
      <c r="C28" s="367"/>
      <c r="D28" s="367"/>
      <c r="E28" s="367"/>
    </row>
    <row r="29" spans="1:8" ht="16.5" customHeight="1" thickBot="1" x14ac:dyDescent="0.25">
      <c r="A29" s="364"/>
      <c r="B29" s="365"/>
      <c r="C29" s="367"/>
      <c r="D29" s="367"/>
      <c r="E29" s="367"/>
    </row>
    <row r="30" spans="1:8" s="5" customFormat="1" ht="16.5" customHeight="1" x14ac:dyDescent="0.2">
      <c r="A30" s="569" t="s">
        <v>12</v>
      </c>
      <c r="B30" s="13">
        <v>2022</v>
      </c>
      <c r="C30" s="13">
        <v>2023</v>
      </c>
      <c r="D30" s="14">
        <v>2024</v>
      </c>
      <c r="E30" s="13">
        <v>2025</v>
      </c>
      <c r="F30" s="571" t="s">
        <v>837</v>
      </c>
      <c r="G30" s="573" t="s">
        <v>838</v>
      </c>
      <c r="H30" s="575" t="s">
        <v>839</v>
      </c>
    </row>
    <row r="31" spans="1:8" s="5" customFormat="1" ht="33" customHeight="1" thickBot="1" x14ac:dyDescent="0.25">
      <c r="A31" s="570"/>
      <c r="B31" s="15" t="s">
        <v>44</v>
      </c>
      <c r="C31" s="15" t="s">
        <v>44</v>
      </c>
      <c r="D31" s="16" t="s">
        <v>44</v>
      </c>
      <c r="E31" s="15" t="s">
        <v>44</v>
      </c>
      <c r="F31" s="572"/>
      <c r="G31" s="574"/>
      <c r="H31" s="576"/>
    </row>
    <row r="32" spans="1:8" s="3" customFormat="1" ht="17.100000000000001" customHeight="1" x14ac:dyDescent="0.2">
      <c r="A32" s="368" t="s">
        <v>2</v>
      </c>
      <c r="B32" s="369">
        <f>B33+B34+B37+B35+B36</f>
        <v>6477200</v>
      </c>
      <c r="C32" s="369">
        <f>C33+C34+C37+C35+C36</f>
        <v>6877200</v>
      </c>
      <c r="D32" s="369">
        <f>D33+D34+D37+D35+D36</f>
        <v>7077200</v>
      </c>
      <c r="E32" s="369">
        <f>E33+E34+E37+E35+E36</f>
        <v>7427200</v>
      </c>
      <c r="F32" s="370">
        <f t="shared" ref="F32:H55" si="5">C32/B32*100</f>
        <v>106.1755079355277</v>
      </c>
      <c r="G32" s="371">
        <f t="shared" si="5"/>
        <v>102.90816029779562</v>
      </c>
      <c r="H32" s="372">
        <f t="shared" si="5"/>
        <v>104.94545865596562</v>
      </c>
    </row>
    <row r="33" spans="1:8" s="1" customFormat="1" ht="17.100000000000001" customHeight="1" x14ac:dyDescent="0.2">
      <c r="A33" s="373" t="s">
        <v>13</v>
      </c>
      <c r="B33" s="374">
        <v>6400000</v>
      </c>
      <c r="C33" s="374">
        <v>6800000</v>
      </c>
      <c r="D33" s="374">
        <v>7000000</v>
      </c>
      <c r="E33" s="374">
        <v>7350000</v>
      </c>
      <c r="F33" s="370">
        <f t="shared" si="5"/>
        <v>106.25</v>
      </c>
      <c r="G33" s="371">
        <f t="shared" si="5"/>
        <v>102.94117647058823</v>
      </c>
      <c r="H33" s="372">
        <f t="shared" si="5"/>
        <v>105</v>
      </c>
    </row>
    <row r="34" spans="1:8" s="1" customFormat="1" ht="17.100000000000001" customHeight="1" x14ac:dyDescent="0.2">
      <c r="A34" s="355" t="s">
        <v>14</v>
      </c>
      <c r="B34" s="375">
        <v>57000</v>
      </c>
      <c r="C34" s="375">
        <v>57000</v>
      </c>
      <c r="D34" s="375">
        <v>57000</v>
      </c>
      <c r="E34" s="375">
        <v>57000</v>
      </c>
      <c r="F34" s="376">
        <f t="shared" si="5"/>
        <v>100</v>
      </c>
      <c r="G34" s="377">
        <f t="shared" si="5"/>
        <v>100</v>
      </c>
      <c r="H34" s="378">
        <f t="shared" si="5"/>
        <v>100</v>
      </c>
    </row>
    <row r="35" spans="1:8" s="1" customFormat="1" ht="17.100000000000001" customHeight="1" x14ac:dyDescent="0.2">
      <c r="A35" s="379" t="s">
        <v>54</v>
      </c>
      <c r="B35" s="375">
        <v>3500</v>
      </c>
      <c r="C35" s="375">
        <v>3500</v>
      </c>
      <c r="D35" s="375">
        <v>3500</v>
      </c>
      <c r="E35" s="375">
        <v>3500</v>
      </c>
      <c r="F35" s="376">
        <f t="shared" si="5"/>
        <v>100</v>
      </c>
      <c r="G35" s="377">
        <f t="shared" si="5"/>
        <v>100</v>
      </c>
      <c r="H35" s="378">
        <f t="shared" si="5"/>
        <v>100</v>
      </c>
    </row>
    <row r="36" spans="1:8" s="1" customFormat="1" ht="17.100000000000001" customHeight="1" x14ac:dyDescent="0.2">
      <c r="A36" s="355" t="s">
        <v>18</v>
      </c>
      <c r="B36" s="375">
        <v>15000</v>
      </c>
      <c r="C36" s="375">
        <v>15000</v>
      </c>
      <c r="D36" s="375">
        <v>15000</v>
      </c>
      <c r="E36" s="375">
        <v>15000</v>
      </c>
      <c r="F36" s="376">
        <f t="shared" si="5"/>
        <v>100</v>
      </c>
      <c r="G36" s="377">
        <f t="shared" si="5"/>
        <v>100</v>
      </c>
      <c r="H36" s="378">
        <f t="shared" si="5"/>
        <v>100</v>
      </c>
    </row>
    <row r="37" spans="1:8" s="1" customFormat="1" ht="17.100000000000001" customHeight="1" x14ac:dyDescent="0.2">
      <c r="A37" s="379" t="s">
        <v>15</v>
      </c>
      <c r="B37" s="375">
        <v>1700</v>
      </c>
      <c r="C37" s="375">
        <v>1700</v>
      </c>
      <c r="D37" s="375">
        <v>1700</v>
      </c>
      <c r="E37" s="375">
        <v>1700</v>
      </c>
      <c r="F37" s="376">
        <f t="shared" si="5"/>
        <v>100</v>
      </c>
      <c r="G37" s="377">
        <f t="shared" si="5"/>
        <v>100</v>
      </c>
      <c r="H37" s="378">
        <f t="shared" si="5"/>
        <v>100</v>
      </c>
    </row>
    <row r="38" spans="1:8" s="3" customFormat="1" ht="17.100000000000001" customHeight="1" x14ac:dyDescent="0.2">
      <c r="A38" s="380" t="s">
        <v>3</v>
      </c>
      <c r="B38" s="369">
        <f>SUM(B39:B47)</f>
        <v>408265</v>
      </c>
      <c r="C38" s="369">
        <f>SUM(C39:C47)</f>
        <v>368998</v>
      </c>
      <c r="D38" s="369">
        <f>SUM(D39:D47)</f>
        <v>342954</v>
      </c>
      <c r="E38" s="369">
        <f>SUM(E39:E47)</f>
        <v>343154</v>
      </c>
      <c r="F38" s="370">
        <f t="shared" si="5"/>
        <v>90.381982290913982</v>
      </c>
      <c r="G38" s="371">
        <f t="shared" si="5"/>
        <v>92.94196716513369</v>
      </c>
      <c r="H38" s="372">
        <f t="shared" si="5"/>
        <v>100.05831685882072</v>
      </c>
    </row>
    <row r="39" spans="1:8" s="1" customFormat="1" ht="17.100000000000001" customHeight="1" x14ac:dyDescent="0.2">
      <c r="A39" s="355" t="s">
        <v>16</v>
      </c>
      <c r="B39" s="375">
        <v>7000</v>
      </c>
      <c r="C39" s="375">
        <v>10000</v>
      </c>
      <c r="D39" s="375">
        <v>10000</v>
      </c>
      <c r="E39" s="375">
        <v>10000</v>
      </c>
      <c r="F39" s="376">
        <f t="shared" si="5"/>
        <v>142.85714285714286</v>
      </c>
      <c r="G39" s="377">
        <f t="shared" si="5"/>
        <v>100</v>
      </c>
      <c r="H39" s="378">
        <f t="shared" si="5"/>
        <v>100</v>
      </c>
    </row>
    <row r="40" spans="1:8" s="1" customFormat="1" ht="17.100000000000001" customHeight="1" x14ac:dyDescent="0.2">
      <c r="A40" s="355" t="s">
        <v>840</v>
      </c>
      <c r="B40" s="375">
        <v>190376</v>
      </c>
      <c r="C40" s="375">
        <v>147467</v>
      </c>
      <c r="D40" s="375">
        <v>121700</v>
      </c>
      <c r="E40" s="375">
        <v>121700</v>
      </c>
      <c r="F40" s="376">
        <f t="shared" si="5"/>
        <v>77.460919443627347</v>
      </c>
      <c r="G40" s="377">
        <f t="shared" si="5"/>
        <v>82.52693823024812</v>
      </c>
      <c r="H40" s="378">
        <f t="shared" si="5"/>
        <v>100</v>
      </c>
    </row>
    <row r="41" spans="1:8" s="1" customFormat="1" ht="16.5" customHeight="1" x14ac:dyDescent="0.2">
      <c r="A41" s="358" t="s">
        <v>841</v>
      </c>
      <c r="B41" s="375">
        <v>150000</v>
      </c>
      <c r="C41" s="375">
        <v>150000</v>
      </c>
      <c r="D41" s="375">
        <v>150000</v>
      </c>
      <c r="E41" s="375">
        <v>150000</v>
      </c>
      <c r="F41" s="376">
        <f t="shared" si="5"/>
        <v>100</v>
      </c>
      <c r="G41" s="377">
        <f t="shared" si="5"/>
        <v>100</v>
      </c>
      <c r="H41" s="378">
        <f t="shared" si="5"/>
        <v>100</v>
      </c>
    </row>
    <row r="42" spans="1:8" s="1" customFormat="1" ht="17.100000000000001" customHeight="1" x14ac:dyDescent="0.2">
      <c r="A42" s="355" t="s">
        <v>55</v>
      </c>
      <c r="B42" s="375">
        <v>15010</v>
      </c>
      <c r="C42" s="375">
        <v>15068</v>
      </c>
      <c r="D42" s="375">
        <v>15126</v>
      </c>
      <c r="E42" s="375">
        <v>15186</v>
      </c>
      <c r="F42" s="376">
        <f t="shared" si="5"/>
        <v>100.38640906062626</v>
      </c>
      <c r="G42" s="377">
        <f t="shared" si="5"/>
        <v>100.38492168834617</v>
      </c>
      <c r="H42" s="378">
        <f t="shared" si="5"/>
        <v>100.39666798889331</v>
      </c>
    </row>
    <row r="43" spans="1:8" s="1" customFormat="1" ht="17.100000000000001" customHeight="1" x14ac:dyDescent="0.2">
      <c r="A43" s="355" t="s">
        <v>303</v>
      </c>
      <c r="B43" s="375">
        <v>4577</v>
      </c>
      <c r="C43" s="375">
        <v>5023</v>
      </c>
      <c r="D43" s="375">
        <v>4549</v>
      </c>
      <c r="E43" s="375">
        <v>4549</v>
      </c>
      <c r="F43" s="376">
        <f t="shared" si="5"/>
        <v>109.74437404413371</v>
      </c>
      <c r="G43" s="377">
        <f t="shared" si="5"/>
        <v>90.56340832172009</v>
      </c>
      <c r="H43" s="378">
        <f t="shared" si="5"/>
        <v>100</v>
      </c>
    </row>
    <row r="44" spans="1:8" s="1" customFormat="1" ht="17.100000000000001" customHeight="1" x14ac:dyDescent="0.2">
      <c r="A44" s="355" t="s">
        <v>17</v>
      </c>
      <c r="B44" s="375">
        <v>4400</v>
      </c>
      <c r="C44" s="375">
        <v>4400</v>
      </c>
      <c r="D44" s="375">
        <v>4400</v>
      </c>
      <c r="E44" s="375">
        <v>4400</v>
      </c>
      <c r="F44" s="376">
        <f t="shared" si="5"/>
        <v>100</v>
      </c>
      <c r="G44" s="377">
        <f t="shared" si="5"/>
        <v>100</v>
      </c>
      <c r="H44" s="378">
        <f t="shared" si="5"/>
        <v>100</v>
      </c>
    </row>
    <row r="45" spans="1:8" s="1" customFormat="1" ht="17.100000000000001" customHeight="1" x14ac:dyDescent="0.2">
      <c r="A45" s="355" t="s">
        <v>842</v>
      </c>
      <c r="B45" s="375">
        <v>27201</v>
      </c>
      <c r="C45" s="375">
        <v>27339</v>
      </c>
      <c r="D45" s="375">
        <v>27478</v>
      </c>
      <c r="E45" s="375">
        <v>27618</v>
      </c>
      <c r="F45" s="376">
        <f t="shared" si="5"/>
        <v>100.50733428918055</v>
      </c>
      <c r="G45" s="377">
        <f t="shared" si="5"/>
        <v>100.50843117890193</v>
      </c>
      <c r="H45" s="378">
        <f t="shared" si="5"/>
        <v>100.50949850789723</v>
      </c>
    </row>
    <row r="46" spans="1:8" s="3" customFormat="1" ht="17.100000000000001" customHeight="1" x14ac:dyDescent="0.2">
      <c r="A46" s="355" t="s">
        <v>19</v>
      </c>
      <c r="B46" s="375">
        <v>2500</v>
      </c>
      <c r="C46" s="375">
        <v>2500</v>
      </c>
      <c r="D46" s="375">
        <v>2500</v>
      </c>
      <c r="E46" s="375">
        <v>2500</v>
      </c>
      <c r="F46" s="376">
        <f t="shared" si="5"/>
        <v>100</v>
      </c>
      <c r="G46" s="377">
        <f t="shared" si="5"/>
        <v>100</v>
      </c>
      <c r="H46" s="378">
        <f t="shared" si="5"/>
        <v>100</v>
      </c>
    </row>
    <row r="47" spans="1:8" s="1" customFormat="1" ht="17.100000000000001" customHeight="1" x14ac:dyDescent="0.2">
      <c r="A47" s="355" t="s">
        <v>20</v>
      </c>
      <c r="B47" s="375">
        <v>7201</v>
      </c>
      <c r="C47" s="375">
        <v>7201</v>
      </c>
      <c r="D47" s="375">
        <v>7201</v>
      </c>
      <c r="E47" s="375">
        <v>7201</v>
      </c>
      <c r="F47" s="376">
        <f t="shared" si="5"/>
        <v>100</v>
      </c>
      <c r="G47" s="377">
        <f t="shared" si="5"/>
        <v>100</v>
      </c>
      <c r="H47" s="378">
        <f t="shared" si="5"/>
        <v>100</v>
      </c>
    </row>
    <row r="48" spans="1:8" s="1" customFormat="1" ht="16.5" customHeight="1" x14ac:dyDescent="0.2">
      <c r="A48" s="380" t="s">
        <v>4</v>
      </c>
      <c r="B48" s="369">
        <f>SUM(B49,B50)</f>
        <v>90446</v>
      </c>
      <c r="C48" s="369">
        <f t="shared" ref="C48:E48" si="6">SUM(C49,C50)</f>
        <v>21836</v>
      </c>
      <c r="D48" s="369">
        <f t="shared" si="6"/>
        <v>21836</v>
      </c>
      <c r="E48" s="369">
        <f t="shared" si="6"/>
        <v>22052</v>
      </c>
      <c r="F48" s="376">
        <f t="shared" si="5"/>
        <v>24.142582314309092</v>
      </c>
      <c r="G48" s="377">
        <f t="shared" si="5"/>
        <v>100</v>
      </c>
      <c r="H48" s="378">
        <f t="shared" si="5"/>
        <v>100.98919215973621</v>
      </c>
    </row>
    <row r="49" spans="1:8" s="3" customFormat="1" ht="17.100000000000001" customHeight="1" x14ac:dyDescent="0.2">
      <c r="A49" s="355" t="s">
        <v>21</v>
      </c>
      <c r="B49" s="375">
        <v>73996</v>
      </c>
      <c r="C49" s="375">
        <v>5386</v>
      </c>
      <c r="D49" s="375">
        <v>5386</v>
      </c>
      <c r="E49" s="375">
        <v>5602</v>
      </c>
      <c r="F49" s="376">
        <f t="shared" si="5"/>
        <v>7.278771825504081</v>
      </c>
      <c r="G49" s="377">
        <f t="shared" si="5"/>
        <v>100</v>
      </c>
      <c r="H49" s="378">
        <f t="shared" si="5"/>
        <v>104.01039732640179</v>
      </c>
    </row>
    <row r="50" spans="1:8" s="1" customFormat="1" ht="16.5" customHeight="1" x14ac:dyDescent="0.2">
      <c r="A50" s="358" t="s">
        <v>17</v>
      </c>
      <c r="B50" s="375">
        <v>16450</v>
      </c>
      <c r="C50" s="375">
        <v>16450</v>
      </c>
      <c r="D50" s="375">
        <v>16450</v>
      </c>
      <c r="E50" s="375">
        <v>16450</v>
      </c>
      <c r="F50" s="376">
        <f t="shared" si="5"/>
        <v>100</v>
      </c>
      <c r="G50" s="377">
        <f t="shared" si="5"/>
        <v>100</v>
      </c>
      <c r="H50" s="378">
        <f t="shared" si="5"/>
        <v>100</v>
      </c>
    </row>
    <row r="51" spans="1:8" s="1" customFormat="1" ht="16.5" customHeight="1" x14ac:dyDescent="0.2">
      <c r="A51" s="381" t="s">
        <v>22</v>
      </c>
      <c r="B51" s="369">
        <f>SUM(B52:B55)</f>
        <v>1816594</v>
      </c>
      <c r="C51" s="369">
        <f>SUM(C52:C55)</f>
        <v>2291410</v>
      </c>
      <c r="D51" s="369">
        <f>SUM(D52:D55)</f>
        <v>3127112</v>
      </c>
      <c r="E51" s="369">
        <f>SUM(E52:E55)</f>
        <v>3888895</v>
      </c>
      <c r="F51" s="370">
        <f t="shared" si="5"/>
        <v>126.13770605870107</v>
      </c>
      <c r="G51" s="371">
        <f t="shared" si="5"/>
        <v>136.47108112472233</v>
      </c>
      <c r="H51" s="372">
        <f t="shared" si="5"/>
        <v>124.36059213740984</v>
      </c>
    </row>
    <row r="52" spans="1:8" ht="16.5" customHeight="1" x14ac:dyDescent="0.2">
      <c r="A52" s="379" t="s">
        <v>245</v>
      </c>
      <c r="B52" s="375">
        <v>680326</v>
      </c>
      <c r="C52" s="375">
        <v>539681</v>
      </c>
      <c r="D52" s="375">
        <v>1561138</v>
      </c>
      <c r="E52" s="375">
        <v>1433489</v>
      </c>
      <c r="F52" s="376">
        <f t="shared" si="5"/>
        <v>79.326822729103398</v>
      </c>
      <c r="G52" s="377">
        <f t="shared" si="5"/>
        <v>289.27051350705324</v>
      </c>
      <c r="H52" s="378">
        <f t="shared" si="5"/>
        <v>91.823336566017872</v>
      </c>
    </row>
    <row r="53" spans="1:8" ht="16.5" customHeight="1" x14ac:dyDescent="0.2">
      <c r="A53" s="379" t="s">
        <v>246</v>
      </c>
      <c r="B53" s="375">
        <v>96132</v>
      </c>
      <c r="C53" s="375">
        <v>103494</v>
      </c>
      <c r="D53" s="375">
        <v>110042</v>
      </c>
      <c r="E53" s="375">
        <v>415246</v>
      </c>
      <c r="F53" s="376">
        <f t="shared" si="5"/>
        <v>107.65821994757209</v>
      </c>
      <c r="G53" s="377">
        <f t="shared" si="5"/>
        <v>106.32693682725569</v>
      </c>
      <c r="H53" s="378">
        <f t="shared" si="5"/>
        <v>377.35228367350646</v>
      </c>
    </row>
    <row r="54" spans="1:8" ht="16.5" customHeight="1" x14ac:dyDescent="0.2">
      <c r="A54" s="379" t="s">
        <v>843</v>
      </c>
      <c r="B54" s="375">
        <v>0</v>
      </c>
      <c r="C54" s="375">
        <v>0</v>
      </c>
      <c r="D54" s="375">
        <v>0</v>
      </c>
      <c r="E54" s="375">
        <v>100000</v>
      </c>
      <c r="F54" s="382" t="s">
        <v>6</v>
      </c>
      <c r="G54" s="383" t="s">
        <v>6</v>
      </c>
      <c r="H54" s="384" t="s">
        <v>6</v>
      </c>
    </row>
    <row r="55" spans="1:8" ht="16.5" customHeight="1" x14ac:dyDescent="0.2">
      <c r="A55" s="385" t="s">
        <v>42</v>
      </c>
      <c r="B55" s="375">
        <v>1040136</v>
      </c>
      <c r="C55" s="375">
        <v>1648235</v>
      </c>
      <c r="D55" s="375">
        <v>1455932</v>
      </c>
      <c r="E55" s="375">
        <v>1940160</v>
      </c>
      <c r="F55" s="376">
        <f t="shared" si="5"/>
        <v>158.46341247682994</v>
      </c>
      <c r="G55" s="377">
        <f t="shared" si="5"/>
        <v>88.332792350605345</v>
      </c>
      <c r="H55" s="378">
        <f t="shared" si="5"/>
        <v>133.25897088600291</v>
      </c>
    </row>
    <row r="56" spans="1:8" s="3" customFormat="1" ht="17.100000000000001" customHeight="1" x14ac:dyDescent="0.2">
      <c r="A56" s="381" t="s">
        <v>57</v>
      </c>
      <c r="B56" s="369">
        <v>21666572</v>
      </c>
      <c r="C56" s="369">
        <v>21599752</v>
      </c>
      <c r="D56" s="369">
        <v>21596826</v>
      </c>
      <c r="E56" s="369">
        <v>21595211</v>
      </c>
      <c r="F56" s="370">
        <f t="shared" ref="F56:H58" si="7">C56/B56*100</f>
        <v>99.691598652523339</v>
      </c>
      <c r="G56" s="371">
        <f t="shared" si="7"/>
        <v>99.986453548170374</v>
      </c>
      <c r="H56" s="372">
        <f t="shared" si="7"/>
        <v>99.992522049304839</v>
      </c>
    </row>
    <row r="57" spans="1:8" ht="29.25" customHeight="1" thickBot="1" x14ac:dyDescent="0.25">
      <c r="A57" s="386" t="s">
        <v>188</v>
      </c>
      <c r="B57" s="387">
        <v>314651</v>
      </c>
      <c r="C57" s="387">
        <v>312934</v>
      </c>
      <c r="D57" s="387">
        <v>387303</v>
      </c>
      <c r="E57" s="387">
        <v>551092</v>
      </c>
      <c r="F57" s="388">
        <f t="shared" si="7"/>
        <v>99.454316051752585</v>
      </c>
      <c r="G57" s="389">
        <f t="shared" si="7"/>
        <v>123.76507506375147</v>
      </c>
      <c r="H57" s="390">
        <f t="shared" si="7"/>
        <v>142.28962853373199</v>
      </c>
    </row>
    <row r="58" spans="1:8" ht="16.5" customHeight="1" thickBot="1" x14ac:dyDescent="0.25">
      <c r="A58" s="391" t="s">
        <v>43</v>
      </c>
      <c r="B58" s="392">
        <f>B32+B38+B48+B51+B56+B57</f>
        <v>30773728</v>
      </c>
      <c r="C58" s="392">
        <f>C32+C38+C48+C51+C56+C57</f>
        <v>31472130</v>
      </c>
      <c r="D58" s="392">
        <f>D32+D38+D48+D51+D56+D57</f>
        <v>32553231</v>
      </c>
      <c r="E58" s="392">
        <f>E32+E38+E48+E51+E56+E57</f>
        <v>33827604</v>
      </c>
      <c r="F58" s="393">
        <f t="shared" si="7"/>
        <v>102.26947479356416</v>
      </c>
      <c r="G58" s="394">
        <f t="shared" si="7"/>
        <v>103.43510591752133</v>
      </c>
      <c r="H58" s="395">
        <f t="shared" si="7"/>
        <v>103.91473583682063</v>
      </c>
    </row>
  </sheetData>
  <mergeCells count="5">
    <mergeCell ref="A3:H3"/>
    <mergeCell ref="A30:A31"/>
    <mergeCell ref="F30:F31"/>
    <mergeCell ref="G30:G31"/>
    <mergeCell ref="H30:H31"/>
  </mergeCells>
  <printOptions horizontalCentered="1"/>
  <pageMargins left="0.31496062992125984" right="0.31496062992125984" top="0.59055118110236227" bottom="0.39370078740157483" header="0.31496062992125984" footer="0.11811023622047245"/>
  <pageSetup paperSize="9" scale="65" firstPageNumber="2" fitToHeight="0" orientation="portrait" useFirstPageNumber="1" r:id="rId1"/>
  <headerFooter>
    <oddHeader>&amp;L&amp;"Tahoma,Kurzíva"Střednědobý výhled rozpočtu kraje na léta 2022 - 2025&amp;R&amp;"Tahoma,Kurzíva"Bilance příjmů a výdajů v letech 2022 - 2025</oddHeader>
    <oddFooter>&amp;C&amp;"Tahoma,Obyčejné"&amp;P</oddFooter>
  </headerFooter>
  <ignoredErrors>
    <ignoredError sqref="B51:E5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CE9C6-10BF-477E-BE36-9EC298764CA2}">
  <sheetPr>
    <outlinePr summaryBelow="0"/>
    <pageSetUpPr fitToPage="1"/>
  </sheetPr>
  <dimension ref="A1:H66"/>
  <sheetViews>
    <sheetView zoomScaleNormal="100" zoomScaleSheetLayoutView="100" workbookViewId="0">
      <selection activeCell="I2" sqref="I2"/>
    </sheetView>
  </sheetViews>
  <sheetFormatPr defaultRowHeight="12.75" x14ac:dyDescent="0.2"/>
  <cols>
    <col min="1" max="1" width="51.7109375" style="2" customWidth="1"/>
    <col min="2" max="2" width="13.7109375" style="6" customWidth="1"/>
    <col min="3" max="5" width="13.7109375" style="7" customWidth="1"/>
    <col min="6" max="8" width="12" style="2" customWidth="1"/>
    <col min="9" max="12" width="14.7109375" style="2" customWidth="1"/>
    <col min="13" max="16384" width="9.140625" style="2"/>
  </cols>
  <sheetData>
    <row r="1" spans="1:8" ht="13.5" thickBot="1" x14ac:dyDescent="0.25"/>
    <row r="2" spans="1:8" s="1" customFormat="1" ht="16.5" customHeight="1" x14ac:dyDescent="0.2">
      <c r="A2" s="577" t="s">
        <v>23</v>
      </c>
      <c r="B2" s="13">
        <v>2022</v>
      </c>
      <c r="C2" s="13">
        <v>2023</v>
      </c>
      <c r="D2" s="14">
        <v>2024</v>
      </c>
      <c r="E2" s="13">
        <v>2025</v>
      </c>
      <c r="F2" s="571" t="s">
        <v>837</v>
      </c>
      <c r="G2" s="573" t="s">
        <v>838</v>
      </c>
      <c r="H2" s="575" t="s">
        <v>839</v>
      </c>
    </row>
    <row r="3" spans="1:8" s="8" customFormat="1" ht="33" customHeight="1" thickBot="1" x14ac:dyDescent="0.25">
      <c r="A3" s="578"/>
      <c r="B3" s="15" t="s">
        <v>44</v>
      </c>
      <c r="C3" s="15" t="s">
        <v>44</v>
      </c>
      <c r="D3" s="16" t="s">
        <v>44</v>
      </c>
      <c r="E3" s="15" t="s">
        <v>44</v>
      </c>
      <c r="F3" s="572"/>
      <c r="G3" s="574"/>
      <c r="H3" s="576"/>
    </row>
    <row r="4" spans="1:8" s="3" customFormat="1" ht="16.5" customHeight="1" x14ac:dyDescent="0.2">
      <c r="A4" s="396" t="s">
        <v>8</v>
      </c>
      <c r="B4" s="369">
        <v>664126</v>
      </c>
      <c r="C4" s="369">
        <v>664126</v>
      </c>
      <c r="D4" s="369">
        <v>669613</v>
      </c>
      <c r="E4" s="369">
        <v>665870</v>
      </c>
      <c r="F4" s="397">
        <f t="shared" ref="F4:H19" si="0">C4/B4*100</f>
        <v>100</v>
      </c>
      <c r="G4" s="398">
        <f t="shared" si="0"/>
        <v>100.82619864302858</v>
      </c>
      <c r="H4" s="399">
        <f t="shared" si="0"/>
        <v>99.441020410296701</v>
      </c>
    </row>
    <row r="5" spans="1:8" s="3" customFormat="1" ht="16.5" customHeight="1" x14ac:dyDescent="0.2">
      <c r="A5" s="396" t="s">
        <v>9</v>
      </c>
      <c r="B5" s="369">
        <f>SUM(B6:B11)</f>
        <v>223348</v>
      </c>
      <c r="C5" s="369">
        <f>SUM(C6:C11)</f>
        <v>233573</v>
      </c>
      <c r="D5" s="369">
        <f>SUM(D6:D11)</f>
        <v>243198</v>
      </c>
      <c r="E5" s="369">
        <f>SUM(E6:E11)</f>
        <v>243023</v>
      </c>
      <c r="F5" s="400">
        <f t="shared" si="0"/>
        <v>104.57805756039902</v>
      </c>
      <c r="G5" s="400">
        <f t="shared" si="0"/>
        <v>104.12076738321639</v>
      </c>
      <c r="H5" s="401">
        <f t="shared" si="0"/>
        <v>99.92804217139944</v>
      </c>
    </row>
    <row r="6" spans="1:8" s="3" customFormat="1" ht="16.5" customHeight="1" x14ac:dyDescent="0.2">
      <c r="A6" s="402" t="s">
        <v>24</v>
      </c>
      <c r="B6" s="375">
        <v>77900</v>
      </c>
      <c r="C6" s="375">
        <v>77900</v>
      </c>
      <c r="D6" s="375">
        <v>77900</v>
      </c>
      <c r="E6" s="375">
        <v>77900</v>
      </c>
      <c r="F6" s="403">
        <f t="shared" si="0"/>
        <v>100</v>
      </c>
      <c r="G6" s="403">
        <f t="shared" si="0"/>
        <v>100</v>
      </c>
      <c r="H6" s="404">
        <f t="shared" si="0"/>
        <v>100</v>
      </c>
    </row>
    <row r="7" spans="1:8" s="3" customFormat="1" ht="16.5" customHeight="1" x14ac:dyDescent="0.2">
      <c r="A7" s="402" t="s">
        <v>25</v>
      </c>
      <c r="B7" s="375">
        <v>20000</v>
      </c>
      <c r="C7" s="375">
        <v>30200</v>
      </c>
      <c r="D7" s="375">
        <v>39800</v>
      </c>
      <c r="E7" s="375">
        <v>39600</v>
      </c>
      <c r="F7" s="403">
        <f t="shared" si="0"/>
        <v>151</v>
      </c>
      <c r="G7" s="403">
        <f t="shared" si="0"/>
        <v>131.78807947019868</v>
      </c>
      <c r="H7" s="404">
        <f t="shared" si="0"/>
        <v>99.497487437185924</v>
      </c>
    </row>
    <row r="8" spans="1:8" s="3" customFormat="1" ht="16.5" customHeight="1" x14ac:dyDescent="0.2">
      <c r="A8" s="402" t="s">
        <v>26</v>
      </c>
      <c r="B8" s="375">
        <v>500</v>
      </c>
      <c r="C8" s="375">
        <v>500</v>
      </c>
      <c r="D8" s="375">
        <v>500</v>
      </c>
      <c r="E8" s="375">
        <v>500</v>
      </c>
      <c r="F8" s="403">
        <f t="shared" si="0"/>
        <v>100</v>
      </c>
      <c r="G8" s="403">
        <f t="shared" si="0"/>
        <v>100</v>
      </c>
      <c r="H8" s="404">
        <f t="shared" si="0"/>
        <v>100</v>
      </c>
    </row>
    <row r="9" spans="1:8" s="3" customFormat="1" ht="16.5" customHeight="1" x14ac:dyDescent="0.2">
      <c r="A9" s="402" t="s">
        <v>27</v>
      </c>
      <c r="B9" s="375">
        <v>59000</v>
      </c>
      <c r="C9" s="375">
        <v>59000</v>
      </c>
      <c r="D9" s="375">
        <v>59000</v>
      </c>
      <c r="E9" s="375">
        <v>59000</v>
      </c>
      <c r="F9" s="403">
        <f t="shared" si="0"/>
        <v>100</v>
      </c>
      <c r="G9" s="403">
        <f t="shared" si="0"/>
        <v>100</v>
      </c>
      <c r="H9" s="404">
        <f t="shared" si="0"/>
        <v>100</v>
      </c>
    </row>
    <row r="10" spans="1:8" s="3" customFormat="1" ht="27.75" customHeight="1" x14ac:dyDescent="0.2">
      <c r="A10" s="402" t="s">
        <v>28</v>
      </c>
      <c r="B10" s="375">
        <v>50000</v>
      </c>
      <c r="C10" s="375">
        <v>50000</v>
      </c>
      <c r="D10" s="375">
        <v>50000</v>
      </c>
      <c r="E10" s="375">
        <v>50000</v>
      </c>
      <c r="F10" s="403">
        <f t="shared" si="0"/>
        <v>100</v>
      </c>
      <c r="G10" s="403">
        <f t="shared" si="0"/>
        <v>100</v>
      </c>
      <c r="H10" s="404">
        <f t="shared" si="0"/>
        <v>100</v>
      </c>
    </row>
    <row r="11" spans="1:8" s="3" customFormat="1" ht="16.5" customHeight="1" x14ac:dyDescent="0.2">
      <c r="A11" s="405" t="s">
        <v>29</v>
      </c>
      <c r="B11" s="375">
        <v>15948</v>
      </c>
      <c r="C11" s="375">
        <v>15973</v>
      </c>
      <c r="D11" s="375">
        <v>15998</v>
      </c>
      <c r="E11" s="375">
        <v>16023</v>
      </c>
      <c r="F11" s="403">
        <f t="shared" si="0"/>
        <v>100.1567594682719</v>
      </c>
      <c r="G11" s="403">
        <f t="shared" si="0"/>
        <v>100.15651411757341</v>
      </c>
      <c r="H11" s="404">
        <f t="shared" si="0"/>
        <v>100.15626953369173</v>
      </c>
    </row>
    <row r="12" spans="1:8" s="3" customFormat="1" ht="29.25" customHeight="1" collapsed="1" x14ac:dyDescent="0.2">
      <c r="A12" s="406" t="s">
        <v>49</v>
      </c>
      <c r="B12" s="369">
        <f>SUM(B13:B26)</f>
        <v>3078113</v>
      </c>
      <c r="C12" s="369">
        <f>SUM(C13:C26)</f>
        <v>3107316</v>
      </c>
      <c r="D12" s="369">
        <f t="shared" ref="D12:E12" si="1">SUM(D13:D26)</f>
        <v>3164741</v>
      </c>
      <c r="E12" s="369">
        <f t="shared" si="1"/>
        <v>3580348</v>
      </c>
      <c r="F12" s="400">
        <f t="shared" si="0"/>
        <v>100.94873060215788</v>
      </c>
      <c r="G12" s="400">
        <f t="shared" si="0"/>
        <v>101.84805793810479</v>
      </c>
      <c r="H12" s="401">
        <f t="shared" si="0"/>
        <v>113.13241747112954</v>
      </c>
    </row>
    <row r="13" spans="1:8" s="3" customFormat="1" ht="16.5" customHeight="1" x14ac:dyDescent="0.2">
      <c r="A13" s="405" t="s">
        <v>844</v>
      </c>
      <c r="B13" s="375">
        <v>1170967</v>
      </c>
      <c r="C13" s="375">
        <v>1211769</v>
      </c>
      <c r="D13" s="375">
        <v>1253999</v>
      </c>
      <c r="E13" s="375">
        <v>1347707</v>
      </c>
      <c r="F13" s="403">
        <f t="shared" si="0"/>
        <v>103.48447052735048</v>
      </c>
      <c r="G13" s="403">
        <f t="shared" si="0"/>
        <v>103.48498765028648</v>
      </c>
      <c r="H13" s="404">
        <f t="shared" si="0"/>
        <v>107.47273323184467</v>
      </c>
    </row>
    <row r="14" spans="1:8" s="3" customFormat="1" ht="16.5" customHeight="1" x14ac:dyDescent="0.2">
      <c r="A14" s="405" t="s">
        <v>845</v>
      </c>
      <c r="B14" s="375">
        <v>962179</v>
      </c>
      <c r="C14" s="375">
        <v>1048208</v>
      </c>
      <c r="D14" s="375">
        <v>1103496</v>
      </c>
      <c r="E14" s="375">
        <v>1158445</v>
      </c>
      <c r="F14" s="403">
        <f t="shared" si="0"/>
        <v>108.94105982358792</v>
      </c>
      <c r="G14" s="403">
        <f t="shared" si="0"/>
        <v>105.27452566666157</v>
      </c>
      <c r="H14" s="404">
        <f t="shared" si="0"/>
        <v>104.97953775999187</v>
      </c>
    </row>
    <row r="15" spans="1:8" s="3" customFormat="1" ht="16.5" customHeight="1" x14ac:dyDescent="0.2">
      <c r="A15" s="405" t="s">
        <v>846</v>
      </c>
      <c r="B15" s="375">
        <v>88677</v>
      </c>
      <c r="C15" s="375">
        <v>84677</v>
      </c>
      <c r="D15" s="375">
        <v>85177</v>
      </c>
      <c r="E15" s="375">
        <v>84677</v>
      </c>
      <c r="F15" s="403">
        <f t="shared" si="0"/>
        <v>95.489247493713137</v>
      </c>
      <c r="G15" s="403">
        <f t="shared" si="0"/>
        <v>100.59047911475372</v>
      </c>
      <c r="H15" s="404">
        <f t="shared" si="0"/>
        <v>99.412987073975373</v>
      </c>
    </row>
    <row r="16" spans="1:8" s="3" customFormat="1" ht="16.5" customHeight="1" x14ac:dyDescent="0.2">
      <c r="A16" s="405" t="s">
        <v>847</v>
      </c>
      <c r="B16" s="375">
        <v>17453</v>
      </c>
      <c r="C16" s="375">
        <v>14653</v>
      </c>
      <c r="D16" s="375">
        <v>13253</v>
      </c>
      <c r="E16" s="375">
        <v>13253</v>
      </c>
      <c r="F16" s="403">
        <f t="shared" si="0"/>
        <v>83.956912851658743</v>
      </c>
      <c r="G16" s="403">
        <f t="shared" si="0"/>
        <v>90.445642530539814</v>
      </c>
      <c r="H16" s="404">
        <f t="shared" si="0"/>
        <v>100</v>
      </c>
    </row>
    <row r="17" spans="1:8" s="3" customFormat="1" ht="16.5" customHeight="1" x14ac:dyDescent="0.2">
      <c r="A17" s="405" t="s">
        <v>30</v>
      </c>
      <c r="B17" s="375">
        <v>101618</v>
      </c>
      <c r="C17" s="375">
        <v>101618</v>
      </c>
      <c r="D17" s="375">
        <v>81618</v>
      </c>
      <c r="E17" s="375">
        <v>81618</v>
      </c>
      <c r="F17" s="403">
        <f t="shared" si="0"/>
        <v>100</v>
      </c>
      <c r="G17" s="403">
        <f t="shared" si="0"/>
        <v>80.318447519140307</v>
      </c>
      <c r="H17" s="404">
        <f t="shared" si="0"/>
        <v>100</v>
      </c>
    </row>
    <row r="18" spans="1:8" s="3" customFormat="1" ht="16.5" customHeight="1" x14ac:dyDescent="0.2">
      <c r="A18" s="405" t="s">
        <v>31</v>
      </c>
      <c r="B18" s="375">
        <v>80301</v>
      </c>
      <c r="C18" s="375">
        <v>80301</v>
      </c>
      <c r="D18" s="375">
        <v>80301</v>
      </c>
      <c r="E18" s="375">
        <v>380301</v>
      </c>
      <c r="F18" s="403">
        <f t="shared" si="0"/>
        <v>100</v>
      </c>
      <c r="G18" s="403">
        <f t="shared" si="0"/>
        <v>100</v>
      </c>
      <c r="H18" s="404">
        <f t="shared" si="0"/>
        <v>473.59435125340906</v>
      </c>
    </row>
    <row r="19" spans="1:8" s="3" customFormat="1" ht="16.5" customHeight="1" x14ac:dyDescent="0.2">
      <c r="A19" s="405" t="s">
        <v>32</v>
      </c>
      <c r="B19" s="375">
        <v>34476</v>
      </c>
      <c r="C19" s="375">
        <v>34476</v>
      </c>
      <c r="D19" s="375">
        <v>34476</v>
      </c>
      <c r="E19" s="375">
        <v>34476</v>
      </c>
      <c r="F19" s="403">
        <f t="shared" si="0"/>
        <v>100</v>
      </c>
      <c r="G19" s="403">
        <f t="shared" si="0"/>
        <v>100</v>
      </c>
      <c r="H19" s="404">
        <f t="shared" si="0"/>
        <v>100</v>
      </c>
    </row>
    <row r="20" spans="1:8" s="3" customFormat="1" ht="16.149999999999999" customHeight="1" x14ac:dyDescent="0.2">
      <c r="A20" s="405" t="s">
        <v>33</v>
      </c>
      <c r="B20" s="375">
        <f>122233-66-336+189</f>
        <v>122020</v>
      </c>
      <c r="C20" s="375">
        <v>110963</v>
      </c>
      <c r="D20" s="375">
        <v>104450</v>
      </c>
      <c r="E20" s="375">
        <v>106450</v>
      </c>
      <c r="F20" s="403">
        <f t="shared" ref="F20:H35" si="2">C20/B20*100</f>
        <v>90.938370758891978</v>
      </c>
      <c r="G20" s="403">
        <f t="shared" si="2"/>
        <v>94.130475924407236</v>
      </c>
      <c r="H20" s="404">
        <f t="shared" si="2"/>
        <v>101.9147917663954</v>
      </c>
    </row>
    <row r="21" spans="1:8" s="3" customFormat="1" ht="16.5" customHeight="1" x14ac:dyDescent="0.2">
      <c r="A21" s="405" t="s">
        <v>34</v>
      </c>
      <c r="B21" s="375">
        <v>50398</v>
      </c>
      <c r="C21" s="375">
        <v>47172</v>
      </c>
      <c r="D21" s="375">
        <v>47172</v>
      </c>
      <c r="E21" s="375">
        <v>47172</v>
      </c>
      <c r="F21" s="403">
        <f t="shared" si="2"/>
        <v>93.598952339378556</v>
      </c>
      <c r="G21" s="403">
        <f t="shared" si="2"/>
        <v>100</v>
      </c>
      <c r="H21" s="404">
        <f t="shared" si="2"/>
        <v>100</v>
      </c>
    </row>
    <row r="22" spans="1:8" s="3" customFormat="1" ht="16.5" customHeight="1" x14ac:dyDescent="0.2">
      <c r="A22" s="405" t="s">
        <v>35</v>
      </c>
      <c r="B22" s="375">
        <v>155288</v>
      </c>
      <c r="C22" s="375">
        <v>155288</v>
      </c>
      <c r="D22" s="375">
        <v>155288</v>
      </c>
      <c r="E22" s="375">
        <v>155288</v>
      </c>
      <c r="F22" s="403">
        <f t="shared" si="2"/>
        <v>100</v>
      </c>
      <c r="G22" s="403">
        <f t="shared" si="2"/>
        <v>100</v>
      </c>
      <c r="H22" s="404">
        <f t="shared" si="2"/>
        <v>100</v>
      </c>
    </row>
    <row r="23" spans="1:8" s="3" customFormat="1" ht="16.5" customHeight="1" x14ac:dyDescent="0.2">
      <c r="A23" s="405" t="s">
        <v>36</v>
      </c>
      <c r="B23" s="375">
        <v>113781</v>
      </c>
      <c r="C23" s="375">
        <v>118781</v>
      </c>
      <c r="D23" s="375">
        <v>113451</v>
      </c>
      <c r="E23" s="375">
        <v>78451</v>
      </c>
      <c r="F23" s="403">
        <f t="shared" si="2"/>
        <v>104.3944067990262</v>
      </c>
      <c r="G23" s="403">
        <f t="shared" si="2"/>
        <v>95.512750355696625</v>
      </c>
      <c r="H23" s="404">
        <f t="shared" si="2"/>
        <v>69.149676953045812</v>
      </c>
    </row>
    <row r="24" spans="1:8" s="3" customFormat="1" ht="16.5" customHeight="1" x14ac:dyDescent="0.2">
      <c r="A24" s="405" t="s">
        <v>37</v>
      </c>
      <c r="B24" s="375">
        <v>11083</v>
      </c>
      <c r="C24" s="375">
        <v>12550</v>
      </c>
      <c r="D24" s="375">
        <v>9850</v>
      </c>
      <c r="E24" s="375">
        <v>9850</v>
      </c>
      <c r="F24" s="403">
        <f t="shared" si="2"/>
        <v>113.23648831543807</v>
      </c>
      <c r="G24" s="403">
        <f t="shared" si="2"/>
        <v>78.486055776892428</v>
      </c>
      <c r="H24" s="404">
        <f t="shared" si="2"/>
        <v>100</v>
      </c>
    </row>
    <row r="25" spans="1:8" s="3" customFormat="1" ht="16.5" customHeight="1" x14ac:dyDescent="0.2">
      <c r="A25" s="405" t="s">
        <v>38</v>
      </c>
      <c r="B25" s="375">
        <v>54809</v>
      </c>
      <c r="C25" s="375">
        <v>54809</v>
      </c>
      <c r="D25" s="375">
        <v>54809</v>
      </c>
      <c r="E25" s="375">
        <v>54809</v>
      </c>
      <c r="F25" s="403">
        <f t="shared" si="2"/>
        <v>100</v>
      </c>
      <c r="G25" s="403">
        <f t="shared" si="2"/>
        <v>100</v>
      </c>
      <c r="H25" s="404">
        <f t="shared" si="2"/>
        <v>100</v>
      </c>
    </row>
    <row r="26" spans="1:8" s="3" customFormat="1" ht="16.5" customHeight="1" x14ac:dyDescent="0.2">
      <c r="A26" s="405" t="s">
        <v>39</v>
      </c>
      <c r="B26" s="375">
        <v>115063</v>
      </c>
      <c r="C26" s="375">
        <v>32051</v>
      </c>
      <c r="D26" s="375">
        <v>27401</v>
      </c>
      <c r="E26" s="375">
        <v>27851</v>
      </c>
      <c r="F26" s="403">
        <f t="shared" si="2"/>
        <v>27.855174991091836</v>
      </c>
      <c r="G26" s="403">
        <f t="shared" si="2"/>
        <v>85.491872328476489</v>
      </c>
      <c r="H26" s="404">
        <f t="shared" si="2"/>
        <v>101.6422758293493</v>
      </c>
    </row>
    <row r="27" spans="1:8" s="3" customFormat="1" ht="16.5" customHeight="1" x14ac:dyDescent="0.2">
      <c r="A27" s="396" t="s">
        <v>10</v>
      </c>
      <c r="B27" s="369">
        <f>SUM(B28:B33)</f>
        <v>2634933</v>
      </c>
      <c r="C27" s="369">
        <f>SUM(C28:C33)</f>
        <v>2658033</v>
      </c>
      <c r="D27" s="369">
        <f>SUM(D28:D33)</f>
        <v>2659283</v>
      </c>
      <c r="E27" s="369">
        <f>SUM(E28:E33)</f>
        <v>2658923</v>
      </c>
      <c r="F27" s="400">
        <f t="shared" si="2"/>
        <v>100.87668263291705</v>
      </c>
      <c r="G27" s="400">
        <f t="shared" si="2"/>
        <v>100.04702725662172</v>
      </c>
      <c r="H27" s="401">
        <f t="shared" si="2"/>
        <v>99.986462516400096</v>
      </c>
    </row>
    <row r="28" spans="1:8" s="3" customFormat="1" ht="16.5" customHeight="1" x14ac:dyDescent="0.2">
      <c r="A28" s="405" t="s">
        <v>848</v>
      </c>
      <c r="B28" s="375">
        <v>613541</v>
      </c>
      <c r="C28" s="375">
        <v>613541</v>
      </c>
      <c r="D28" s="375">
        <v>613541</v>
      </c>
      <c r="E28" s="375">
        <v>613541</v>
      </c>
      <c r="F28" s="403">
        <f t="shared" si="2"/>
        <v>100</v>
      </c>
      <c r="G28" s="403">
        <f t="shared" si="2"/>
        <v>100</v>
      </c>
      <c r="H28" s="404">
        <f t="shared" si="2"/>
        <v>100</v>
      </c>
    </row>
    <row r="29" spans="1:8" s="3" customFormat="1" ht="16.5" customHeight="1" x14ac:dyDescent="0.2">
      <c r="A29" s="405" t="s">
        <v>847</v>
      </c>
      <c r="B29" s="375">
        <v>33834</v>
      </c>
      <c r="C29" s="375">
        <v>33834</v>
      </c>
      <c r="D29" s="375">
        <v>33834</v>
      </c>
      <c r="E29" s="375">
        <v>33834</v>
      </c>
      <c r="F29" s="403">
        <f t="shared" si="2"/>
        <v>100</v>
      </c>
      <c r="G29" s="403">
        <f t="shared" si="2"/>
        <v>100</v>
      </c>
      <c r="H29" s="404">
        <f t="shared" si="2"/>
        <v>100</v>
      </c>
    </row>
    <row r="30" spans="1:8" s="3" customFormat="1" ht="16.5" customHeight="1" x14ac:dyDescent="0.2">
      <c r="A30" s="405" t="s">
        <v>31</v>
      </c>
      <c r="B30" s="375">
        <v>263715</v>
      </c>
      <c r="C30" s="375">
        <v>264965</v>
      </c>
      <c r="D30" s="375">
        <v>264965</v>
      </c>
      <c r="E30" s="375">
        <v>264605</v>
      </c>
      <c r="F30" s="403">
        <f t="shared" si="2"/>
        <v>100.47399654930511</v>
      </c>
      <c r="G30" s="403">
        <f t="shared" si="2"/>
        <v>100</v>
      </c>
      <c r="H30" s="404">
        <f t="shared" si="2"/>
        <v>99.86413299869794</v>
      </c>
    </row>
    <row r="31" spans="1:8" s="3" customFormat="1" ht="16.5" customHeight="1" x14ac:dyDescent="0.2">
      <c r="A31" s="405" t="s">
        <v>35</v>
      </c>
      <c r="B31" s="375">
        <v>314300</v>
      </c>
      <c r="C31" s="375">
        <v>331400</v>
      </c>
      <c r="D31" s="375">
        <v>337400</v>
      </c>
      <c r="E31" s="375">
        <v>337400</v>
      </c>
      <c r="F31" s="403">
        <f t="shared" si="2"/>
        <v>105.44066178810054</v>
      </c>
      <c r="G31" s="403">
        <f t="shared" si="2"/>
        <v>101.81050090525045</v>
      </c>
      <c r="H31" s="404">
        <f t="shared" si="2"/>
        <v>100</v>
      </c>
    </row>
    <row r="32" spans="1:8" s="3" customFormat="1" ht="16.5" customHeight="1" x14ac:dyDescent="0.2">
      <c r="A32" s="405" t="s">
        <v>36</v>
      </c>
      <c r="B32" s="375">
        <v>753307</v>
      </c>
      <c r="C32" s="375">
        <v>753307</v>
      </c>
      <c r="D32" s="375">
        <v>753307</v>
      </c>
      <c r="E32" s="375">
        <v>753307</v>
      </c>
      <c r="F32" s="403">
        <f t="shared" si="2"/>
        <v>100</v>
      </c>
      <c r="G32" s="403">
        <f t="shared" si="2"/>
        <v>100</v>
      </c>
      <c r="H32" s="404">
        <f t="shared" si="2"/>
        <v>100</v>
      </c>
    </row>
    <row r="33" spans="1:8" s="3" customFormat="1" ht="16.5" customHeight="1" x14ac:dyDescent="0.2">
      <c r="A33" s="405" t="s">
        <v>38</v>
      </c>
      <c r="B33" s="375">
        <v>656236</v>
      </c>
      <c r="C33" s="375">
        <v>660986</v>
      </c>
      <c r="D33" s="375">
        <v>656236</v>
      </c>
      <c r="E33" s="375">
        <v>656236</v>
      </c>
      <c r="F33" s="403">
        <f t="shared" si="2"/>
        <v>100.7238249654088</v>
      </c>
      <c r="G33" s="403">
        <f t="shared" si="2"/>
        <v>99.281376610094611</v>
      </c>
      <c r="H33" s="404">
        <f t="shared" si="2"/>
        <v>100</v>
      </c>
    </row>
    <row r="34" spans="1:8" s="3" customFormat="1" ht="16.5" customHeight="1" x14ac:dyDescent="0.2">
      <c r="A34" s="396" t="s">
        <v>52</v>
      </c>
      <c r="B34" s="369">
        <f>SUM(B35:B36)</f>
        <v>147467</v>
      </c>
      <c r="C34" s="369">
        <f>SUM(C35:C36)</f>
        <v>121700</v>
      </c>
      <c r="D34" s="369">
        <f>SUM(D35:D36)</f>
        <v>121700</v>
      </c>
      <c r="E34" s="369">
        <f>SUM(E35:E36)</f>
        <v>121700</v>
      </c>
      <c r="F34" s="400">
        <f t="shared" si="2"/>
        <v>82.52693823024812</v>
      </c>
      <c r="G34" s="400">
        <f t="shared" si="2"/>
        <v>100</v>
      </c>
      <c r="H34" s="401">
        <f t="shared" si="2"/>
        <v>100</v>
      </c>
    </row>
    <row r="35" spans="1:8" s="3" customFormat="1" ht="16.5" customHeight="1" x14ac:dyDescent="0.2">
      <c r="A35" s="405" t="s">
        <v>35</v>
      </c>
      <c r="B35" s="375">
        <v>121700</v>
      </c>
      <c r="C35" s="375">
        <v>121700</v>
      </c>
      <c r="D35" s="375">
        <v>121700</v>
      </c>
      <c r="E35" s="375">
        <v>121700</v>
      </c>
      <c r="F35" s="403">
        <f t="shared" si="2"/>
        <v>100</v>
      </c>
      <c r="G35" s="403">
        <f t="shared" si="2"/>
        <v>100</v>
      </c>
      <c r="H35" s="404">
        <f>E35/D35*100</f>
        <v>100</v>
      </c>
    </row>
    <row r="36" spans="1:8" s="3" customFormat="1" ht="16.5" customHeight="1" x14ac:dyDescent="0.2">
      <c r="A36" s="405" t="s">
        <v>36</v>
      </c>
      <c r="B36" s="375">
        <v>25767</v>
      </c>
      <c r="C36" s="375">
        <v>0</v>
      </c>
      <c r="D36" s="375">
        <v>0</v>
      </c>
      <c r="E36" s="375">
        <v>0</v>
      </c>
      <c r="F36" s="403">
        <f t="shared" ref="F36" si="3">C36/B36*100</f>
        <v>0</v>
      </c>
      <c r="G36" s="407" t="s">
        <v>6</v>
      </c>
      <c r="H36" s="408" t="s">
        <v>6</v>
      </c>
    </row>
    <row r="37" spans="1:8" s="3" customFormat="1" ht="6" customHeight="1" x14ac:dyDescent="0.2">
      <c r="A37" s="409"/>
      <c r="B37" s="375"/>
      <c r="C37" s="375"/>
      <c r="D37" s="375"/>
      <c r="E37" s="375"/>
      <c r="F37" s="410"/>
      <c r="G37" s="410"/>
      <c r="H37" s="411"/>
    </row>
    <row r="38" spans="1:8" s="3" customFormat="1" ht="29.25" customHeight="1" x14ac:dyDescent="0.2">
      <c r="A38" s="406" t="s">
        <v>849</v>
      </c>
      <c r="B38" s="369">
        <v>21666572</v>
      </c>
      <c r="C38" s="369">
        <v>21599752</v>
      </c>
      <c r="D38" s="369">
        <v>21596826</v>
      </c>
      <c r="E38" s="369">
        <v>21595211</v>
      </c>
      <c r="F38" s="400">
        <f t="shared" ref="F38:H38" si="4">C38/B38*100</f>
        <v>99.691598652523339</v>
      </c>
      <c r="G38" s="400">
        <f t="shared" si="4"/>
        <v>99.986453548170374</v>
      </c>
      <c r="H38" s="401">
        <f t="shared" si="4"/>
        <v>99.992522049304839</v>
      </c>
    </row>
    <row r="39" spans="1:8" s="3" customFormat="1" ht="6" customHeight="1" x14ac:dyDescent="0.2">
      <c r="A39" s="412"/>
      <c r="B39" s="413"/>
      <c r="C39" s="413"/>
      <c r="D39" s="413"/>
      <c r="E39" s="413"/>
      <c r="F39" s="410"/>
      <c r="G39" s="410"/>
      <c r="H39" s="411"/>
    </row>
    <row r="40" spans="1:8" s="3" customFormat="1" ht="29.25" customHeight="1" x14ac:dyDescent="0.2">
      <c r="A40" s="406" t="s">
        <v>40</v>
      </c>
      <c r="B40" s="369">
        <f>SUM(B41:B47)</f>
        <v>1267929</v>
      </c>
      <c r="C40" s="369">
        <f>SUM(C41:C47)</f>
        <v>1032998</v>
      </c>
      <c r="D40" s="369">
        <f>SUM(D41:D47)</f>
        <v>1344158</v>
      </c>
      <c r="E40" s="369">
        <f>SUM(E41:E47)</f>
        <v>1353597</v>
      </c>
      <c r="F40" s="400">
        <f t="shared" ref="F40:H47" si="5">C40/B40*100</f>
        <v>81.471281120630564</v>
      </c>
      <c r="G40" s="400">
        <f t="shared" si="5"/>
        <v>130.1220331501126</v>
      </c>
      <c r="H40" s="401">
        <f t="shared" si="5"/>
        <v>100.70222399450064</v>
      </c>
    </row>
    <row r="41" spans="1:8" s="3" customFormat="1" ht="16.5" customHeight="1" x14ac:dyDescent="0.2">
      <c r="A41" s="405" t="s">
        <v>56</v>
      </c>
      <c r="B41" s="375">
        <v>14085</v>
      </c>
      <c r="C41" s="375">
        <v>17600</v>
      </c>
      <c r="D41" s="375">
        <v>36050</v>
      </c>
      <c r="E41" s="375">
        <v>34450</v>
      </c>
      <c r="F41" s="403">
        <f t="shared" si="5"/>
        <v>124.95562655307064</v>
      </c>
      <c r="G41" s="403">
        <f t="shared" si="5"/>
        <v>204.82954545454547</v>
      </c>
      <c r="H41" s="404">
        <f t="shared" si="5"/>
        <v>95.561719833564496</v>
      </c>
    </row>
    <row r="42" spans="1:8" s="1" customFormat="1" ht="16.5" customHeight="1" x14ac:dyDescent="0.2">
      <c r="A42" s="405" t="s">
        <v>41</v>
      </c>
      <c r="B42" s="375">
        <v>19507</v>
      </c>
      <c r="C42" s="375">
        <v>861</v>
      </c>
      <c r="D42" s="375">
        <v>0</v>
      </c>
      <c r="E42" s="375">
        <v>0</v>
      </c>
      <c r="F42" s="403">
        <f t="shared" si="5"/>
        <v>4.4138001742964059</v>
      </c>
      <c r="G42" s="403">
        <f t="shared" si="5"/>
        <v>0</v>
      </c>
      <c r="H42" s="408" t="s">
        <v>6</v>
      </c>
    </row>
    <row r="43" spans="1:8" s="3" customFormat="1" ht="16.5" customHeight="1" x14ac:dyDescent="0.2">
      <c r="A43" s="405" t="s">
        <v>848</v>
      </c>
      <c r="B43" s="375">
        <f>214940+3151+66+336-189</f>
        <v>218304</v>
      </c>
      <c r="C43" s="375">
        <f>504431+15917</f>
        <v>520348</v>
      </c>
      <c r="D43" s="375">
        <f>1081854+6344</f>
        <v>1088198</v>
      </c>
      <c r="E43" s="375">
        <f>1153954+33737</f>
        <v>1187691</v>
      </c>
      <c r="F43" s="403">
        <f t="shared" si="5"/>
        <v>238.35935209615951</v>
      </c>
      <c r="G43" s="403">
        <f t="shared" si="5"/>
        <v>209.12889066547771</v>
      </c>
      <c r="H43" s="404">
        <f t="shared" si="5"/>
        <v>109.14291333011089</v>
      </c>
    </row>
    <row r="44" spans="1:8" s="3" customFormat="1" ht="16.5" customHeight="1" x14ac:dyDescent="0.2">
      <c r="A44" s="405" t="s">
        <v>31</v>
      </c>
      <c r="B44" s="375">
        <v>139570</v>
      </c>
      <c r="C44" s="375">
        <v>50559</v>
      </c>
      <c r="D44" s="375">
        <v>74838</v>
      </c>
      <c r="E44" s="375">
        <v>44838</v>
      </c>
      <c r="F44" s="403">
        <f t="shared" si="5"/>
        <v>36.22483341692341</v>
      </c>
      <c r="G44" s="403">
        <f t="shared" si="5"/>
        <v>148.02112383551892</v>
      </c>
      <c r="H44" s="404">
        <f t="shared" si="5"/>
        <v>59.913412972019565</v>
      </c>
    </row>
    <row r="45" spans="1:8" s="3" customFormat="1" ht="16.5" customHeight="1" x14ac:dyDescent="0.2">
      <c r="A45" s="405" t="s">
        <v>35</v>
      </c>
      <c r="B45" s="375">
        <v>334425</v>
      </c>
      <c r="C45" s="375">
        <v>178700</v>
      </c>
      <c r="D45" s="375">
        <v>0</v>
      </c>
      <c r="E45" s="375">
        <v>0</v>
      </c>
      <c r="F45" s="403">
        <f t="shared" si="5"/>
        <v>53.435000373775885</v>
      </c>
      <c r="G45" s="403">
        <f t="shared" si="5"/>
        <v>0</v>
      </c>
      <c r="H45" s="408" t="s">
        <v>6</v>
      </c>
    </row>
    <row r="46" spans="1:8" s="3" customFormat="1" ht="16.5" customHeight="1" x14ac:dyDescent="0.2">
      <c r="A46" s="405" t="s">
        <v>36</v>
      </c>
      <c r="B46" s="375">
        <v>353423</v>
      </c>
      <c r="C46" s="375">
        <v>197600</v>
      </c>
      <c r="D46" s="375">
        <v>127610</v>
      </c>
      <c r="E46" s="375">
        <f>75130-6107</f>
        <v>69023</v>
      </c>
      <c r="F46" s="403">
        <f t="shared" si="5"/>
        <v>55.910339734539058</v>
      </c>
      <c r="G46" s="403">
        <f t="shared" si="5"/>
        <v>64.579959514170042</v>
      </c>
      <c r="H46" s="404">
        <f t="shared" si="5"/>
        <v>54.089021236580201</v>
      </c>
    </row>
    <row r="47" spans="1:8" s="3" customFormat="1" ht="16.5" customHeight="1" x14ac:dyDescent="0.2">
      <c r="A47" s="405" t="s">
        <v>38</v>
      </c>
      <c r="B47" s="375">
        <v>188615</v>
      </c>
      <c r="C47" s="375">
        <v>67330</v>
      </c>
      <c r="D47" s="375">
        <v>17462</v>
      </c>
      <c r="E47" s="375">
        <v>17595</v>
      </c>
      <c r="F47" s="403">
        <f t="shared" si="5"/>
        <v>35.697054847175465</v>
      </c>
      <c r="G47" s="403">
        <f t="shared" si="5"/>
        <v>25.934947274617553</v>
      </c>
      <c r="H47" s="404">
        <f t="shared" si="5"/>
        <v>100.76165387699004</v>
      </c>
    </row>
    <row r="48" spans="1:8" s="3" customFormat="1" ht="6" customHeight="1" x14ac:dyDescent="0.2">
      <c r="A48" s="415"/>
      <c r="B48" s="375"/>
      <c r="C48" s="375"/>
      <c r="D48" s="375"/>
      <c r="E48" s="375"/>
      <c r="F48" s="410"/>
      <c r="G48" s="410"/>
      <c r="H48" s="411"/>
    </row>
    <row r="49" spans="1:8" s="9" customFormat="1" ht="16.5" customHeight="1" x14ac:dyDescent="0.2">
      <c r="A49" s="416" t="s">
        <v>53</v>
      </c>
      <c r="B49" s="369">
        <f>SUM(B50:B60)</f>
        <v>2098877</v>
      </c>
      <c r="C49" s="369">
        <f>SUM(C50:C60)</f>
        <v>2115565</v>
      </c>
      <c r="D49" s="369">
        <f>SUM(D50:D60)</f>
        <v>2414569</v>
      </c>
      <c r="E49" s="369">
        <f>SUM(E50:E60)</f>
        <v>2366920</v>
      </c>
      <c r="F49" s="400">
        <f t="shared" ref="F49:H49" si="6">C49/B49*100</f>
        <v>100.79509185149963</v>
      </c>
      <c r="G49" s="400">
        <f t="shared" si="6"/>
        <v>114.13352934086166</v>
      </c>
      <c r="H49" s="401">
        <f t="shared" si="6"/>
        <v>98.026604333941165</v>
      </c>
    </row>
    <row r="50" spans="1:8" s="9" customFormat="1" ht="16.5" customHeight="1" x14ac:dyDescent="0.2">
      <c r="A50" s="405" t="s">
        <v>56</v>
      </c>
      <c r="B50" s="375">
        <v>288</v>
      </c>
      <c r="C50" s="375">
        <v>311</v>
      </c>
      <c r="D50" s="375">
        <v>0</v>
      </c>
      <c r="E50" s="375">
        <v>0</v>
      </c>
      <c r="F50" s="403">
        <f>C50/B50*100</f>
        <v>107.98611111111111</v>
      </c>
      <c r="G50" s="403">
        <f>D50/C50*100</f>
        <v>0</v>
      </c>
      <c r="H50" s="408" t="s">
        <v>6</v>
      </c>
    </row>
    <row r="51" spans="1:8" s="9" customFormat="1" ht="16.5" customHeight="1" x14ac:dyDescent="0.2">
      <c r="A51" s="405" t="s">
        <v>848</v>
      </c>
      <c r="B51" s="375">
        <v>602831</v>
      </c>
      <c r="C51" s="375">
        <v>441400</v>
      </c>
      <c r="D51" s="375">
        <v>495000</v>
      </c>
      <c r="E51" s="375">
        <v>363000</v>
      </c>
      <c r="F51" s="403">
        <f t="shared" ref="F51:H60" si="7">C51/B51*100</f>
        <v>73.221184710142637</v>
      </c>
      <c r="G51" s="403">
        <f t="shared" si="7"/>
        <v>112.14318078840056</v>
      </c>
      <c r="H51" s="404">
        <f t="shared" si="7"/>
        <v>73.333333333333329</v>
      </c>
    </row>
    <row r="52" spans="1:8" s="9" customFormat="1" ht="16.5" customHeight="1" x14ac:dyDescent="0.2">
      <c r="A52" s="405" t="s">
        <v>847</v>
      </c>
      <c r="B52" s="375">
        <v>45667</v>
      </c>
      <c r="C52" s="375">
        <v>131624</v>
      </c>
      <c r="D52" s="375">
        <v>244576</v>
      </c>
      <c r="E52" s="375">
        <v>176302</v>
      </c>
      <c r="F52" s="403">
        <f t="shared" si="7"/>
        <v>288.22563338953728</v>
      </c>
      <c r="G52" s="403">
        <f t="shared" si="7"/>
        <v>185.81413723940923</v>
      </c>
      <c r="H52" s="404">
        <f t="shared" si="7"/>
        <v>72.084750752322392</v>
      </c>
    </row>
    <row r="53" spans="1:8" s="9" customFormat="1" ht="16.5" customHeight="1" x14ac:dyDescent="0.2">
      <c r="A53" s="405" t="s">
        <v>30</v>
      </c>
      <c r="B53" s="375">
        <v>96900</v>
      </c>
      <c r="C53" s="375">
        <f>199300-32000</f>
        <v>167300</v>
      </c>
      <c r="D53" s="375">
        <v>129930</v>
      </c>
      <c r="E53" s="375">
        <v>0</v>
      </c>
      <c r="F53" s="403">
        <f t="shared" si="7"/>
        <v>172.65221878224975</v>
      </c>
      <c r="G53" s="403">
        <f t="shared" si="7"/>
        <v>77.66288105200239</v>
      </c>
      <c r="H53" s="404">
        <f t="shared" si="7"/>
        <v>0</v>
      </c>
    </row>
    <row r="54" spans="1:8" s="9" customFormat="1" ht="16.5" customHeight="1" x14ac:dyDescent="0.2">
      <c r="A54" s="405" t="s">
        <v>31</v>
      </c>
      <c r="B54" s="375">
        <v>66378</v>
      </c>
      <c r="C54" s="375">
        <v>354000</v>
      </c>
      <c r="D54" s="375">
        <v>591000</v>
      </c>
      <c r="E54" s="375">
        <v>781000</v>
      </c>
      <c r="F54" s="403">
        <f t="shared" si="7"/>
        <v>533.30922896140282</v>
      </c>
      <c r="G54" s="403">
        <f t="shared" si="7"/>
        <v>166.94915254237287</v>
      </c>
      <c r="H54" s="404">
        <f t="shared" si="7"/>
        <v>132.14890016920472</v>
      </c>
    </row>
    <row r="55" spans="1:8" s="9" customFormat="1" ht="16.5" customHeight="1" x14ac:dyDescent="0.2">
      <c r="A55" s="405" t="s">
        <v>33</v>
      </c>
      <c r="B55" s="375">
        <v>36980</v>
      </c>
      <c r="C55" s="375">
        <v>37380</v>
      </c>
      <c r="D55" s="375">
        <v>36500</v>
      </c>
      <c r="E55" s="375">
        <v>36900</v>
      </c>
      <c r="F55" s="403">
        <f t="shared" si="7"/>
        <v>101.08166576527853</v>
      </c>
      <c r="G55" s="403">
        <f t="shared" si="7"/>
        <v>97.645799892990908</v>
      </c>
      <c r="H55" s="404">
        <f t="shared" si="7"/>
        <v>101.0958904109589</v>
      </c>
    </row>
    <row r="56" spans="1:8" s="9" customFormat="1" ht="16.5" customHeight="1" x14ac:dyDescent="0.2">
      <c r="A56" s="405" t="s">
        <v>35</v>
      </c>
      <c r="B56" s="375">
        <v>192859</v>
      </c>
      <c r="C56" s="375">
        <v>165737</v>
      </c>
      <c r="D56" s="375">
        <v>143000</v>
      </c>
      <c r="E56" s="375">
        <v>202118</v>
      </c>
      <c r="F56" s="403">
        <f t="shared" si="7"/>
        <v>85.936876163414723</v>
      </c>
      <c r="G56" s="403">
        <f t="shared" si="7"/>
        <v>86.281276962899057</v>
      </c>
      <c r="H56" s="404">
        <f t="shared" si="7"/>
        <v>141.34125874125874</v>
      </c>
    </row>
    <row r="57" spans="1:8" s="9" customFormat="1" ht="16.5" customHeight="1" x14ac:dyDescent="0.2">
      <c r="A57" s="405" t="s">
        <v>36</v>
      </c>
      <c r="B57" s="414">
        <v>403618</v>
      </c>
      <c r="C57" s="414">
        <v>204169</v>
      </c>
      <c r="D57" s="414">
        <v>250890</v>
      </c>
      <c r="E57" s="414">
        <v>483700</v>
      </c>
      <c r="F57" s="403">
        <f t="shared" si="7"/>
        <v>50.584711286414382</v>
      </c>
      <c r="G57" s="403">
        <f t="shared" si="7"/>
        <v>122.88349357639994</v>
      </c>
      <c r="H57" s="404">
        <f t="shared" si="7"/>
        <v>192.7936545896608</v>
      </c>
    </row>
    <row r="58" spans="1:8" s="9" customFormat="1" ht="16.5" customHeight="1" x14ac:dyDescent="0.2">
      <c r="A58" s="405" t="s">
        <v>37</v>
      </c>
      <c r="B58" s="375">
        <v>50000</v>
      </c>
      <c r="C58" s="375">
        <v>184895</v>
      </c>
      <c r="D58" s="375">
        <v>0</v>
      </c>
      <c r="E58" s="375">
        <v>0</v>
      </c>
      <c r="F58" s="403">
        <f t="shared" si="7"/>
        <v>369.79</v>
      </c>
      <c r="G58" s="403">
        <f t="shared" si="7"/>
        <v>0</v>
      </c>
      <c r="H58" s="408" t="s">
        <v>6</v>
      </c>
    </row>
    <row r="59" spans="1:8" s="9" customFormat="1" ht="16.5" customHeight="1" x14ac:dyDescent="0.2">
      <c r="A59" s="405" t="s">
        <v>38</v>
      </c>
      <c r="B59" s="375">
        <v>99568</v>
      </c>
      <c r="C59" s="375">
        <f>112451+32000</f>
        <v>144451</v>
      </c>
      <c r="D59" s="375">
        <v>260200</v>
      </c>
      <c r="E59" s="375">
        <v>285000</v>
      </c>
      <c r="F59" s="403">
        <f t="shared" si="7"/>
        <v>145.07773581873695</v>
      </c>
      <c r="G59" s="403">
        <f t="shared" si="7"/>
        <v>180.13028639469439</v>
      </c>
      <c r="H59" s="404">
        <f t="shared" si="7"/>
        <v>109.53112990007688</v>
      </c>
    </row>
    <row r="60" spans="1:8" s="9" customFormat="1" ht="16.5" customHeight="1" x14ac:dyDescent="0.2">
      <c r="A60" s="405" t="s">
        <v>39</v>
      </c>
      <c r="B60" s="375">
        <v>503788</v>
      </c>
      <c r="C60" s="375">
        <v>284298</v>
      </c>
      <c r="D60" s="375">
        <v>263473</v>
      </c>
      <c r="E60" s="375">
        <v>38900</v>
      </c>
      <c r="F60" s="403">
        <f t="shared" si="7"/>
        <v>56.432070632885257</v>
      </c>
      <c r="G60" s="403">
        <f t="shared" si="7"/>
        <v>92.674939675973803</v>
      </c>
      <c r="H60" s="404">
        <f t="shared" si="7"/>
        <v>14.764321201792974</v>
      </c>
    </row>
    <row r="61" spans="1:8" s="3" customFormat="1" ht="6" customHeight="1" x14ac:dyDescent="0.2">
      <c r="A61" s="409"/>
      <c r="B61" s="417"/>
      <c r="C61" s="417"/>
      <c r="D61" s="417"/>
      <c r="E61" s="417"/>
      <c r="F61" s="410"/>
      <c r="G61" s="410"/>
      <c r="H61" s="411"/>
    </row>
    <row r="62" spans="1:8" s="3" customFormat="1" ht="29.25" customHeight="1" x14ac:dyDescent="0.2">
      <c r="A62" s="406" t="s">
        <v>850</v>
      </c>
      <c r="B62" s="387">
        <v>314651</v>
      </c>
      <c r="C62" s="387">
        <v>312934</v>
      </c>
      <c r="D62" s="387">
        <v>387303</v>
      </c>
      <c r="E62" s="387">
        <v>551092</v>
      </c>
      <c r="F62" s="400">
        <f t="shared" ref="F62:H62" si="8">C62/B62*100</f>
        <v>99.454316051752585</v>
      </c>
      <c r="G62" s="400">
        <f t="shared" si="8"/>
        <v>123.76507506375147</v>
      </c>
      <c r="H62" s="401">
        <f t="shared" si="8"/>
        <v>142.28962853373199</v>
      </c>
    </row>
    <row r="63" spans="1:8" s="10" customFormat="1" ht="6" customHeight="1" x14ac:dyDescent="0.2">
      <c r="A63" s="418"/>
      <c r="B63" s="387"/>
      <c r="C63" s="387"/>
      <c r="D63" s="387"/>
      <c r="E63" s="387"/>
      <c r="F63" s="419"/>
      <c r="G63" s="419"/>
      <c r="H63" s="420"/>
    </row>
    <row r="64" spans="1:8" s="3" customFormat="1" ht="16.5" customHeight="1" x14ac:dyDescent="0.2">
      <c r="A64" s="406" t="s">
        <v>836</v>
      </c>
      <c r="B64" s="387">
        <v>250000</v>
      </c>
      <c r="C64" s="387">
        <v>350000</v>
      </c>
      <c r="D64" s="387">
        <v>450000</v>
      </c>
      <c r="E64" s="387">
        <v>450000</v>
      </c>
      <c r="F64" s="400">
        <f t="shared" ref="F64:H64" si="9">C64/B64*100</f>
        <v>140</v>
      </c>
      <c r="G64" s="400">
        <f t="shared" si="9"/>
        <v>128.57142857142858</v>
      </c>
      <c r="H64" s="401">
        <f t="shared" si="9"/>
        <v>100</v>
      </c>
    </row>
    <row r="65" spans="1:8" s="10" customFormat="1" ht="6" customHeight="1" thickBot="1" x14ac:dyDescent="0.25">
      <c r="A65" s="418"/>
      <c r="B65" s="387"/>
      <c r="C65" s="387"/>
      <c r="D65" s="387"/>
      <c r="E65" s="387"/>
      <c r="F65" s="419"/>
      <c r="G65" s="419"/>
      <c r="H65" s="420"/>
    </row>
    <row r="66" spans="1:8" s="9" customFormat="1" ht="16.5" customHeight="1" thickBot="1" x14ac:dyDescent="0.25">
      <c r="A66" s="421" t="s">
        <v>7</v>
      </c>
      <c r="B66" s="392">
        <f>B4+B5+B12+B27+B34+B38+B40+B49+B62+B64</f>
        <v>32346016</v>
      </c>
      <c r="C66" s="392">
        <f>C4+C5+C12+C27+C34+C38+C40+C49+C62+C64</f>
        <v>32195997</v>
      </c>
      <c r="D66" s="392">
        <f>D4+D5+D12+D27+D34+D38+D40+D49+D62+D64</f>
        <v>33051391</v>
      </c>
      <c r="E66" s="392">
        <f>E4+E5+E12+E27+E34+E38+E40+E49+E62+E64</f>
        <v>33586684</v>
      </c>
      <c r="F66" s="422">
        <f t="shared" ref="F66:H66" si="10">C66/B66*100</f>
        <v>99.536205633485125</v>
      </c>
      <c r="G66" s="422">
        <f t="shared" si="10"/>
        <v>102.65683339453659</v>
      </c>
      <c r="H66" s="423">
        <f t="shared" si="10"/>
        <v>101.61957782654292</v>
      </c>
    </row>
  </sheetData>
  <mergeCells count="4">
    <mergeCell ref="A2:A3"/>
    <mergeCell ref="F2:F3"/>
    <mergeCell ref="G2:G3"/>
    <mergeCell ref="H2:H3"/>
  </mergeCells>
  <printOptions horizontalCentered="1"/>
  <pageMargins left="0.31496062992125984" right="0.31496062992125984" top="0.59055118110236227" bottom="0.39370078740157483" header="0.31496062992125984" footer="0.11811023622047245"/>
  <pageSetup paperSize="9" scale="69" firstPageNumber="3" fitToHeight="0" orientation="portrait" useFirstPageNumber="1" r:id="rId1"/>
  <headerFooter>
    <oddHeader>&amp;L&amp;"Tahoma,Kurzíva"Střednědobý výhled rozpočtu kraje na léta 2022 - 2025&amp;R&amp;"Tahoma,Kurzíva"Bilance příjmů a výdajů v letech 2022 - 2025</oddHeader>
    <oddFooter>&amp;C&amp;"Tahoma,Obyčejné"&amp;P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23AC2-2D03-4C09-AA7C-C8A09803F46D}">
  <sheetPr>
    <pageSetUpPr fitToPage="1"/>
  </sheetPr>
  <dimension ref="A1:M66"/>
  <sheetViews>
    <sheetView workbookViewId="0">
      <selection activeCell="G3" sqref="G3"/>
    </sheetView>
  </sheetViews>
  <sheetFormatPr defaultColWidth="9" defaultRowHeight="12.75" x14ac:dyDescent="0.2"/>
  <cols>
    <col min="1" max="1" width="57.42578125" style="37" customWidth="1"/>
    <col min="2" max="2" width="12.42578125" style="37" hidden="1" customWidth="1"/>
    <col min="3" max="6" width="11.28515625" style="37" customWidth="1"/>
    <col min="7" max="16384" width="9" style="37"/>
  </cols>
  <sheetData>
    <row r="1" spans="1:13" ht="15" customHeight="1" x14ac:dyDescent="0.2">
      <c r="A1" s="21" t="s">
        <v>59</v>
      </c>
    </row>
    <row r="2" spans="1:13" ht="27.75" customHeight="1" thickBot="1" x14ac:dyDescent="0.25">
      <c r="A2" s="579" t="s">
        <v>851</v>
      </c>
      <c r="B2" s="579"/>
      <c r="C2" s="579"/>
      <c r="D2" s="579"/>
      <c r="E2" s="579"/>
      <c r="F2" s="579"/>
    </row>
    <row r="3" spans="1:13" s="38" customFormat="1" ht="27.75" customHeight="1" x14ac:dyDescent="0.2">
      <c r="A3" s="580" t="s">
        <v>70</v>
      </c>
      <c r="B3" s="582" t="s">
        <v>71</v>
      </c>
      <c r="C3" s="584" t="s">
        <v>72</v>
      </c>
      <c r="D3" s="585"/>
      <c r="E3" s="585"/>
      <c r="F3" s="586"/>
    </row>
    <row r="4" spans="1:13" s="38" customFormat="1" ht="18" customHeight="1" thickBot="1" x14ac:dyDescent="0.25">
      <c r="A4" s="581"/>
      <c r="B4" s="583"/>
      <c r="C4" s="538">
        <v>2022</v>
      </c>
      <c r="D4" s="538">
        <v>2023</v>
      </c>
      <c r="E4" s="538">
        <v>2024</v>
      </c>
      <c r="F4" s="539">
        <v>2025</v>
      </c>
    </row>
    <row r="5" spans="1:13" s="38" customFormat="1" ht="15.75" customHeight="1" x14ac:dyDescent="0.2">
      <c r="A5" s="39" t="s">
        <v>73</v>
      </c>
      <c r="B5" s="40"/>
      <c r="C5" s="41">
        <f>C7+C14+C23+C21</f>
        <v>1816594</v>
      </c>
      <c r="D5" s="41">
        <f t="shared" ref="D5:F5" si="0">D7+D14+D23+D21</f>
        <v>2291410</v>
      </c>
      <c r="E5" s="41">
        <f t="shared" si="0"/>
        <v>3127112</v>
      </c>
      <c r="F5" s="42">
        <f t="shared" si="0"/>
        <v>3888895</v>
      </c>
      <c r="J5" s="146"/>
      <c r="K5" s="146"/>
      <c r="L5" s="146"/>
      <c r="M5" s="146"/>
    </row>
    <row r="6" spans="1:13" s="38" customFormat="1" ht="15" customHeight="1" x14ac:dyDescent="0.2">
      <c r="A6" s="424" t="s">
        <v>74</v>
      </c>
      <c r="B6" s="425"/>
      <c r="C6" s="426"/>
      <c r="D6" s="426"/>
      <c r="E6" s="426"/>
      <c r="F6" s="427"/>
    </row>
    <row r="7" spans="1:13" s="38" customFormat="1" ht="15.75" customHeight="1" x14ac:dyDescent="0.2">
      <c r="A7" s="428" t="s">
        <v>247</v>
      </c>
      <c r="B7" s="425"/>
      <c r="C7" s="426">
        <f>SUM(C8:C13)</f>
        <v>680326</v>
      </c>
      <c r="D7" s="426">
        <f>SUM(D8:D13)</f>
        <v>539681</v>
      </c>
      <c r="E7" s="426">
        <f>SUM(E8:E13)</f>
        <v>1561138</v>
      </c>
      <c r="F7" s="429">
        <f>SUM(F8:F13)</f>
        <v>1433489</v>
      </c>
    </row>
    <row r="8" spans="1:13" s="38" customFormat="1" ht="15" customHeight="1" x14ac:dyDescent="0.2">
      <c r="A8" s="430" t="s">
        <v>248</v>
      </c>
      <c r="B8" s="425"/>
      <c r="C8" s="431">
        <v>181887</v>
      </c>
      <c r="D8" s="431">
        <v>196586</v>
      </c>
      <c r="E8" s="431">
        <v>206035</v>
      </c>
      <c r="F8" s="432">
        <v>215957</v>
      </c>
    </row>
    <row r="9" spans="1:13" s="38" customFormat="1" ht="25.5" customHeight="1" x14ac:dyDescent="0.2">
      <c r="A9" s="430" t="s">
        <v>249</v>
      </c>
      <c r="B9" s="425">
        <v>27355</v>
      </c>
      <c r="C9" s="431">
        <v>331493</v>
      </c>
      <c r="D9" s="431">
        <v>343095</v>
      </c>
      <c r="E9" s="431">
        <v>355103</v>
      </c>
      <c r="F9" s="432">
        <v>367532</v>
      </c>
    </row>
    <row r="10" spans="1:13" s="38" customFormat="1" ht="15" customHeight="1" x14ac:dyDescent="0.2">
      <c r="A10" s="430" t="s">
        <v>852</v>
      </c>
      <c r="B10" s="425"/>
      <c r="C10" s="431">
        <v>64152</v>
      </c>
      <c r="D10" s="431">
        <v>0</v>
      </c>
      <c r="E10" s="431">
        <v>0</v>
      </c>
      <c r="F10" s="432">
        <v>0</v>
      </c>
    </row>
    <row r="11" spans="1:13" s="38" customFormat="1" ht="25.5" customHeight="1" x14ac:dyDescent="0.2">
      <c r="A11" s="430" t="s">
        <v>853</v>
      </c>
      <c r="B11" s="425"/>
      <c r="C11" s="431">
        <v>65000</v>
      </c>
      <c r="D11" s="431">
        <v>0</v>
      </c>
      <c r="E11" s="431">
        <v>0</v>
      </c>
      <c r="F11" s="432">
        <v>0</v>
      </c>
    </row>
    <row r="12" spans="1:13" s="38" customFormat="1" ht="25.5" customHeight="1" x14ac:dyDescent="0.2">
      <c r="A12" s="430" t="s">
        <v>854</v>
      </c>
      <c r="B12" s="425"/>
      <c r="C12" s="431">
        <v>37794</v>
      </c>
      <c r="D12" s="431">
        <v>0</v>
      </c>
      <c r="E12" s="431">
        <v>0</v>
      </c>
      <c r="F12" s="432">
        <v>0</v>
      </c>
    </row>
    <row r="13" spans="1:13" s="38" customFormat="1" ht="25.5" customHeight="1" x14ac:dyDescent="0.2">
      <c r="A13" s="430" t="s">
        <v>855</v>
      </c>
      <c r="B13" s="425"/>
      <c r="C13" s="431">
        <v>0</v>
      </c>
      <c r="D13" s="431">
        <v>0</v>
      </c>
      <c r="E13" s="431">
        <v>1000000</v>
      </c>
      <c r="F13" s="432">
        <v>850000</v>
      </c>
    </row>
    <row r="14" spans="1:13" s="38" customFormat="1" ht="15.75" customHeight="1" x14ac:dyDescent="0.2">
      <c r="A14" s="428" t="s">
        <v>856</v>
      </c>
      <c r="B14" s="425"/>
      <c r="C14" s="426">
        <f>SUM(C15:C20)</f>
        <v>96132</v>
      </c>
      <c r="D14" s="426">
        <f>SUM(D15:D20)</f>
        <v>103494</v>
      </c>
      <c r="E14" s="426">
        <f>SUM(E15:E20)</f>
        <v>110042</v>
      </c>
      <c r="F14" s="429">
        <f>SUM(F15:F20)</f>
        <v>415246</v>
      </c>
    </row>
    <row r="15" spans="1:13" s="38" customFormat="1" ht="15" customHeight="1" x14ac:dyDescent="0.2">
      <c r="A15" s="430" t="s">
        <v>300</v>
      </c>
      <c r="B15" s="425"/>
      <c r="C15" s="431">
        <v>59813</v>
      </c>
      <c r="D15" s="431">
        <v>68254</v>
      </c>
      <c r="E15" s="431">
        <v>77749</v>
      </c>
      <c r="F15" s="432">
        <v>84566</v>
      </c>
    </row>
    <row r="16" spans="1:13" s="38" customFormat="1" ht="15" customHeight="1" x14ac:dyDescent="0.2">
      <c r="A16" s="430" t="s">
        <v>250</v>
      </c>
      <c r="B16" s="425"/>
      <c r="C16" s="431">
        <v>18821</v>
      </c>
      <c r="D16" s="431">
        <v>19479</v>
      </c>
      <c r="E16" s="431">
        <v>20161</v>
      </c>
      <c r="F16" s="432">
        <v>20867</v>
      </c>
    </row>
    <row r="17" spans="1:7" s="38" customFormat="1" ht="15" customHeight="1" x14ac:dyDescent="0.2">
      <c r="A17" s="430" t="s">
        <v>308</v>
      </c>
      <c r="B17" s="425"/>
      <c r="C17" s="431">
        <v>7498</v>
      </c>
      <c r="D17" s="431">
        <v>7761</v>
      </c>
      <c r="E17" s="431">
        <v>8032</v>
      </c>
      <c r="F17" s="432">
        <v>8313</v>
      </c>
    </row>
    <row r="18" spans="1:7" s="38" customFormat="1" ht="25.5" customHeight="1" x14ac:dyDescent="0.2">
      <c r="A18" s="430" t="s">
        <v>897</v>
      </c>
      <c r="B18" s="425"/>
      <c r="C18" s="431">
        <v>0</v>
      </c>
      <c r="D18" s="431">
        <v>0</v>
      </c>
      <c r="E18" s="431">
        <v>0</v>
      </c>
      <c r="F18" s="432">
        <v>300000</v>
      </c>
      <c r="G18" s="151"/>
    </row>
    <row r="19" spans="1:7" s="38" customFormat="1" ht="15" customHeight="1" x14ac:dyDescent="0.2">
      <c r="A19" s="430" t="s">
        <v>852</v>
      </c>
      <c r="B19" s="425"/>
      <c r="C19" s="431">
        <v>10000</v>
      </c>
      <c r="D19" s="431">
        <v>8000</v>
      </c>
      <c r="E19" s="431">
        <v>3350</v>
      </c>
      <c r="F19" s="432">
        <v>0</v>
      </c>
    </row>
    <row r="20" spans="1:7" s="38" customFormat="1" ht="15" customHeight="1" x14ac:dyDescent="0.2">
      <c r="A20" s="430" t="s">
        <v>868</v>
      </c>
      <c r="B20" s="425"/>
      <c r="C20" s="431">
        <v>0</v>
      </c>
      <c r="D20" s="431">
        <v>0</v>
      </c>
      <c r="E20" s="431">
        <v>750</v>
      </c>
      <c r="F20" s="432">
        <v>1500</v>
      </c>
      <c r="G20" s="151"/>
    </row>
    <row r="21" spans="1:7" s="38" customFormat="1" ht="15.75" customHeight="1" x14ac:dyDescent="0.2">
      <c r="A21" s="428" t="s">
        <v>857</v>
      </c>
      <c r="B21" s="425"/>
      <c r="C21" s="426">
        <f>SUM(C22)</f>
        <v>0</v>
      </c>
      <c r="D21" s="426">
        <f t="shared" ref="D21:F21" si="1">SUM(D22)</f>
        <v>0</v>
      </c>
      <c r="E21" s="426">
        <f t="shared" si="1"/>
        <v>0</v>
      </c>
      <c r="F21" s="429">
        <f t="shared" si="1"/>
        <v>100000</v>
      </c>
    </row>
    <row r="22" spans="1:7" s="38" customFormat="1" ht="34.5" customHeight="1" x14ac:dyDescent="0.2">
      <c r="A22" s="430" t="s">
        <v>858</v>
      </c>
      <c r="B22" s="425"/>
      <c r="C22" s="431">
        <v>0</v>
      </c>
      <c r="D22" s="431">
        <v>0</v>
      </c>
      <c r="E22" s="431">
        <v>0</v>
      </c>
      <c r="F22" s="432">
        <v>100000</v>
      </c>
    </row>
    <row r="23" spans="1:7" s="38" customFormat="1" ht="27" customHeight="1" x14ac:dyDescent="0.2">
      <c r="A23" s="428" t="s">
        <v>251</v>
      </c>
      <c r="B23" s="425"/>
      <c r="C23" s="433">
        <v>1040136</v>
      </c>
      <c r="D23" s="433">
        <v>1648235</v>
      </c>
      <c r="E23" s="433">
        <v>1455932</v>
      </c>
      <c r="F23" s="434">
        <v>1940160</v>
      </c>
    </row>
    <row r="24" spans="1:7" s="38" customFormat="1" ht="29.25" customHeight="1" x14ac:dyDescent="0.2">
      <c r="A24" s="43" t="s">
        <v>75</v>
      </c>
      <c r="B24" s="44"/>
      <c r="C24" s="45">
        <f>C26+C28+C32+C35+C44+C60</f>
        <v>21666572</v>
      </c>
      <c r="D24" s="45">
        <f t="shared" ref="D24:F24" si="2">D26+D28+D32+D35+D44+D60</f>
        <v>21599752</v>
      </c>
      <c r="E24" s="45">
        <f t="shared" si="2"/>
        <v>21596826</v>
      </c>
      <c r="F24" s="147">
        <f t="shared" si="2"/>
        <v>21595211</v>
      </c>
    </row>
    <row r="25" spans="1:7" s="38" customFormat="1" ht="15" customHeight="1" x14ac:dyDescent="0.2">
      <c r="A25" s="424" t="s">
        <v>74</v>
      </c>
      <c r="B25" s="425"/>
      <c r="C25" s="426"/>
      <c r="D25" s="435"/>
      <c r="E25" s="435"/>
      <c r="F25" s="429"/>
    </row>
    <row r="26" spans="1:7" s="38" customFormat="1" ht="15.75" customHeight="1" x14ac:dyDescent="0.2">
      <c r="A26" s="428" t="s">
        <v>77</v>
      </c>
      <c r="B26" s="425"/>
      <c r="C26" s="426">
        <f t="shared" ref="C26:F26" si="3">SUM(C27)</f>
        <v>400</v>
      </c>
      <c r="D26" s="435">
        <f t="shared" si="3"/>
        <v>400</v>
      </c>
      <c r="E26" s="435">
        <f t="shared" si="3"/>
        <v>400</v>
      </c>
      <c r="F26" s="429">
        <f t="shared" si="3"/>
        <v>400</v>
      </c>
    </row>
    <row r="27" spans="1:7" s="38" customFormat="1" ht="15" customHeight="1" x14ac:dyDescent="0.2">
      <c r="A27" s="436" t="s">
        <v>76</v>
      </c>
      <c r="B27" s="425">
        <v>4001</v>
      </c>
      <c r="C27" s="437">
        <v>400</v>
      </c>
      <c r="D27" s="438">
        <v>400</v>
      </c>
      <c r="E27" s="438">
        <v>400</v>
      </c>
      <c r="F27" s="439">
        <v>400</v>
      </c>
    </row>
    <row r="28" spans="1:7" s="38" customFormat="1" ht="15.75" customHeight="1" x14ac:dyDescent="0.2">
      <c r="A28" s="428" t="s">
        <v>80</v>
      </c>
      <c r="B28" s="425"/>
      <c r="C28" s="426">
        <f>SUM(C29:C31)</f>
        <v>2435101</v>
      </c>
      <c r="D28" s="435">
        <f>SUM(D29:D31)</f>
        <v>2435101</v>
      </c>
      <c r="E28" s="435">
        <f>SUM(E29:E31)</f>
        <v>2435101</v>
      </c>
      <c r="F28" s="429">
        <f>SUM(F29:F31)</f>
        <v>2435101</v>
      </c>
    </row>
    <row r="29" spans="1:7" s="38" customFormat="1" ht="25.5" customHeight="1" x14ac:dyDescent="0.2">
      <c r="A29" s="436" t="s">
        <v>78</v>
      </c>
      <c r="B29" s="425">
        <v>13305</v>
      </c>
      <c r="C29" s="437">
        <v>2416154</v>
      </c>
      <c r="D29" s="437">
        <v>2416154</v>
      </c>
      <c r="E29" s="437">
        <v>2416154</v>
      </c>
      <c r="F29" s="439">
        <v>2416154</v>
      </c>
    </row>
    <row r="30" spans="1:7" s="38" customFormat="1" ht="25.5" customHeight="1" x14ac:dyDescent="0.2">
      <c r="A30" s="436" t="s">
        <v>859</v>
      </c>
      <c r="B30" s="425"/>
      <c r="C30" s="437">
        <v>1947</v>
      </c>
      <c r="D30" s="437">
        <v>1947</v>
      </c>
      <c r="E30" s="437">
        <v>1947</v>
      </c>
      <c r="F30" s="439">
        <v>1947</v>
      </c>
    </row>
    <row r="31" spans="1:7" s="38" customFormat="1" ht="25.5" customHeight="1" x14ac:dyDescent="0.2">
      <c r="A31" s="436" t="s">
        <v>79</v>
      </c>
      <c r="B31" s="425">
        <v>13307</v>
      </c>
      <c r="C31" s="437">
        <v>17000</v>
      </c>
      <c r="D31" s="438">
        <v>17000</v>
      </c>
      <c r="E31" s="438">
        <v>17000</v>
      </c>
      <c r="F31" s="439">
        <v>17000</v>
      </c>
    </row>
    <row r="32" spans="1:7" s="38" customFormat="1" ht="15.75" customHeight="1" x14ac:dyDescent="0.2">
      <c r="A32" s="428" t="s">
        <v>84</v>
      </c>
      <c r="B32" s="425"/>
      <c r="C32" s="426">
        <f>SUM(C33:C34)</f>
        <v>23102</v>
      </c>
      <c r="D32" s="426">
        <f>SUM(D33:D34)</f>
        <v>17721</v>
      </c>
      <c r="E32" s="435">
        <f>SUM(E33:E34)</f>
        <v>14345</v>
      </c>
      <c r="F32" s="429">
        <f>SUM(F33:F34)</f>
        <v>12730</v>
      </c>
    </row>
    <row r="33" spans="1:6" s="38" customFormat="1" ht="25.5" customHeight="1" x14ac:dyDescent="0.2">
      <c r="A33" s="436" t="s">
        <v>81</v>
      </c>
      <c r="B33" s="425">
        <v>35018</v>
      </c>
      <c r="C33" s="437">
        <v>12000</v>
      </c>
      <c r="D33" s="438">
        <v>12000</v>
      </c>
      <c r="E33" s="438">
        <v>12000</v>
      </c>
      <c r="F33" s="439">
        <v>12000</v>
      </c>
    </row>
    <row r="34" spans="1:6" s="38" customFormat="1" ht="25.5" customHeight="1" x14ac:dyDescent="0.2">
      <c r="A34" s="436" t="s">
        <v>82</v>
      </c>
      <c r="B34" s="425" t="s">
        <v>83</v>
      </c>
      <c r="C34" s="437">
        <v>11102</v>
      </c>
      <c r="D34" s="438">
        <v>5721</v>
      </c>
      <c r="E34" s="438">
        <v>2345</v>
      </c>
      <c r="F34" s="439">
        <v>730</v>
      </c>
    </row>
    <row r="35" spans="1:6" s="38" customFormat="1" ht="15.75" customHeight="1" x14ac:dyDescent="0.2">
      <c r="A35" s="440" t="s">
        <v>92</v>
      </c>
      <c r="B35" s="441"/>
      <c r="C35" s="426">
        <f>SUM(C36:C43)</f>
        <v>19093180</v>
      </c>
      <c r="D35" s="435">
        <f>SUM(D36:D43)</f>
        <v>19093230</v>
      </c>
      <c r="E35" s="435">
        <f>SUM(E36:E43)</f>
        <v>19093230</v>
      </c>
      <c r="F35" s="429">
        <f>SUM(F36:F43)</f>
        <v>19093230</v>
      </c>
    </row>
    <row r="36" spans="1:6" s="38" customFormat="1" ht="15" customHeight="1" x14ac:dyDescent="0.2">
      <c r="A36" s="436" t="s">
        <v>85</v>
      </c>
      <c r="B36" s="425">
        <v>33155</v>
      </c>
      <c r="C36" s="437">
        <v>1077000</v>
      </c>
      <c r="D36" s="437">
        <v>1077000</v>
      </c>
      <c r="E36" s="437">
        <v>1077000</v>
      </c>
      <c r="F36" s="439">
        <v>1077000</v>
      </c>
    </row>
    <row r="37" spans="1:6" s="38" customFormat="1" ht="15" customHeight="1" x14ac:dyDescent="0.2">
      <c r="A37" s="442" t="s">
        <v>304</v>
      </c>
      <c r="B37" s="443">
        <v>33063</v>
      </c>
      <c r="C37" s="437">
        <v>50000</v>
      </c>
      <c r="D37" s="437">
        <v>50000</v>
      </c>
      <c r="E37" s="438">
        <v>50000</v>
      </c>
      <c r="F37" s="439">
        <v>50000</v>
      </c>
    </row>
    <row r="38" spans="1:6" s="38" customFormat="1" ht="15" customHeight="1" x14ac:dyDescent="0.2">
      <c r="A38" s="436" t="s">
        <v>86</v>
      </c>
      <c r="B38" s="425">
        <v>33122</v>
      </c>
      <c r="C38" s="437">
        <v>500</v>
      </c>
      <c r="D38" s="438">
        <v>500</v>
      </c>
      <c r="E38" s="438">
        <v>500</v>
      </c>
      <c r="F38" s="439">
        <v>500</v>
      </c>
    </row>
    <row r="39" spans="1:6" s="38" customFormat="1" ht="15" customHeight="1" x14ac:dyDescent="0.2">
      <c r="A39" s="436" t="s">
        <v>87</v>
      </c>
      <c r="B39" s="425">
        <v>33160</v>
      </c>
      <c r="C39" s="437">
        <v>200</v>
      </c>
      <c r="D39" s="438">
        <v>200</v>
      </c>
      <c r="E39" s="438">
        <v>200</v>
      </c>
      <c r="F39" s="439">
        <v>200</v>
      </c>
    </row>
    <row r="40" spans="1:6" s="38" customFormat="1" ht="15" customHeight="1" x14ac:dyDescent="0.2">
      <c r="A40" s="436" t="s">
        <v>88</v>
      </c>
      <c r="B40" s="425">
        <v>33353</v>
      </c>
      <c r="C40" s="437">
        <v>17961560</v>
      </c>
      <c r="D40" s="437">
        <v>17961560</v>
      </c>
      <c r="E40" s="437">
        <v>17961560</v>
      </c>
      <c r="F40" s="439">
        <v>17961560</v>
      </c>
    </row>
    <row r="41" spans="1:6" s="38" customFormat="1" ht="15" customHeight="1" x14ac:dyDescent="0.2">
      <c r="A41" s="436" t="s">
        <v>89</v>
      </c>
      <c r="B41" s="425">
        <v>33354</v>
      </c>
      <c r="C41" s="437">
        <v>3500</v>
      </c>
      <c r="D41" s="438">
        <v>3500</v>
      </c>
      <c r="E41" s="438">
        <v>3500</v>
      </c>
      <c r="F41" s="439">
        <v>3500</v>
      </c>
    </row>
    <row r="42" spans="1:6" s="38" customFormat="1" ht="15" customHeight="1" x14ac:dyDescent="0.2">
      <c r="A42" s="436" t="s">
        <v>90</v>
      </c>
      <c r="B42" s="425">
        <v>33166</v>
      </c>
      <c r="C42" s="437">
        <v>300</v>
      </c>
      <c r="D42" s="438">
        <v>350</v>
      </c>
      <c r="E42" s="438">
        <v>350</v>
      </c>
      <c r="F42" s="439">
        <v>350</v>
      </c>
    </row>
    <row r="43" spans="1:6" s="38" customFormat="1" ht="15" customHeight="1" x14ac:dyDescent="0.2">
      <c r="A43" s="436" t="s">
        <v>91</v>
      </c>
      <c r="B43" s="425">
        <v>33192</v>
      </c>
      <c r="C43" s="437">
        <v>120</v>
      </c>
      <c r="D43" s="438">
        <v>120</v>
      </c>
      <c r="E43" s="438">
        <v>120</v>
      </c>
      <c r="F43" s="439">
        <v>120</v>
      </c>
    </row>
    <row r="44" spans="1:6" s="38" customFormat="1" ht="15.75" customHeight="1" x14ac:dyDescent="0.2">
      <c r="A44" s="428" t="s">
        <v>98</v>
      </c>
      <c r="B44" s="425"/>
      <c r="C44" s="426">
        <f>SUM(C45:C59)</f>
        <v>12870</v>
      </c>
      <c r="D44" s="426">
        <f>SUM(D45:D59)</f>
        <v>13300</v>
      </c>
      <c r="E44" s="435">
        <f>SUM(E45:E59)</f>
        <v>13750</v>
      </c>
      <c r="F44" s="429">
        <f>SUM(F45:F59)</f>
        <v>13750</v>
      </c>
    </row>
    <row r="45" spans="1:6" s="38" customFormat="1" ht="15" customHeight="1" x14ac:dyDescent="0.2">
      <c r="A45" s="444" t="s">
        <v>93</v>
      </c>
      <c r="B45" s="441">
        <v>34070</v>
      </c>
      <c r="C45" s="445">
        <f>600+120+300</f>
        <v>1020</v>
      </c>
      <c r="D45" s="446">
        <f>600+150+300</f>
        <v>1050</v>
      </c>
      <c r="E45" s="446">
        <f>600+150+300</f>
        <v>1050</v>
      </c>
      <c r="F45" s="447">
        <v>1050</v>
      </c>
    </row>
    <row r="46" spans="1:6" s="38" customFormat="1" ht="15" customHeight="1" x14ac:dyDescent="0.2">
      <c r="A46" s="436" t="s">
        <v>252</v>
      </c>
      <c r="B46" s="425">
        <v>34013</v>
      </c>
      <c r="C46" s="445">
        <f>300+100</f>
        <v>400</v>
      </c>
      <c r="D46" s="446">
        <f>500+200</f>
        <v>700</v>
      </c>
      <c r="E46" s="446">
        <f>1000+200</f>
        <v>1200</v>
      </c>
      <c r="F46" s="447">
        <v>1200</v>
      </c>
    </row>
    <row r="47" spans="1:6" s="38" customFormat="1" ht="15" customHeight="1" x14ac:dyDescent="0.2">
      <c r="A47" s="444" t="s">
        <v>860</v>
      </c>
      <c r="B47" s="441">
        <v>34021</v>
      </c>
      <c r="C47" s="445">
        <v>200</v>
      </c>
      <c r="D47" s="446">
        <v>350</v>
      </c>
      <c r="E47" s="446">
        <v>300</v>
      </c>
      <c r="F47" s="447">
        <v>300</v>
      </c>
    </row>
    <row r="48" spans="1:6" s="38" customFormat="1" ht="15" customHeight="1" x14ac:dyDescent="0.2">
      <c r="A48" s="444" t="s">
        <v>861</v>
      </c>
      <c r="B48" s="441">
        <v>34026</v>
      </c>
      <c r="C48" s="445">
        <v>200</v>
      </c>
      <c r="D48" s="446">
        <v>200</v>
      </c>
      <c r="E48" s="446">
        <v>100</v>
      </c>
      <c r="F48" s="447">
        <v>100</v>
      </c>
    </row>
    <row r="49" spans="1:7" s="38" customFormat="1" ht="25.5" customHeight="1" x14ac:dyDescent="0.2">
      <c r="A49" s="444" t="s">
        <v>862</v>
      </c>
      <c r="B49" s="441">
        <v>34031</v>
      </c>
      <c r="C49" s="445">
        <v>400</v>
      </c>
      <c r="D49" s="446">
        <v>400</v>
      </c>
      <c r="E49" s="446">
        <v>400</v>
      </c>
      <c r="F49" s="447">
        <v>400</v>
      </c>
    </row>
    <row r="50" spans="1:7" s="38" customFormat="1" ht="25.5" customHeight="1" x14ac:dyDescent="0.2">
      <c r="A50" s="444" t="s">
        <v>863</v>
      </c>
      <c r="B50" s="441">
        <v>34054</v>
      </c>
      <c r="C50" s="445">
        <v>800</v>
      </c>
      <c r="D50" s="446">
        <f>500+300</f>
        <v>800</v>
      </c>
      <c r="E50" s="446">
        <f>500+400</f>
        <v>900</v>
      </c>
      <c r="F50" s="447">
        <v>900</v>
      </c>
    </row>
    <row r="51" spans="1:7" s="38" customFormat="1" ht="15" customHeight="1" x14ac:dyDescent="0.2">
      <c r="A51" s="448" t="s">
        <v>864</v>
      </c>
      <c r="B51" s="425">
        <v>34503</v>
      </c>
      <c r="C51" s="445">
        <v>300</v>
      </c>
      <c r="D51" s="446">
        <v>200</v>
      </c>
      <c r="E51" s="446">
        <v>200</v>
      </c>
      <c r="F51" s="447">
        <v>200</v>
      </c>
    </row>
    <row r="52" spans="1:7" s="38" customFormat="1" ht="15" customHeight="1" x14ac:dyDescent="0.2">
      <c r="A52" s="436" t="s">
        <v>865</v>
      </c>
      <c r="B52" s="441">
        <v>34017</v>
      </c>
      <c r="C52" s="445">
        <f>100+100+150</f>
        <v>350</v>
      </c>
      <c r="D52" s="446">
        <f>100+300</f>
        <v>400</v>
      </c>
      <c r="E52" s="446">
        <f>100+300</f>
        <v>400</v>
      </c>
      <c r="F52" s="447">
        <v>400</v>
      </c>
    </row>
    <row r="53" spans="1:7" s="38" customFormat="1" ht="15" customHeight="1" x14ac:dyDescent="0.2">
      <c r="A53" s="436" t="s">
        <v>866</v>
      </c>
      <c r="B53" s="425">
        <v>34502</v>
      </c>
      <c r="C53" s="445">
        <v>1700</v>
      </c>
      <c r="D53" s="446">
        <v>1700</v>
      </c>
      <c r="E53" s="446">
        <v>1700</v>
      </c>
      <c r="F53" s="447">
        <v>1700</v>
      </c>
    </row>
    <row r="54" spans="1:7" s="38" customFormat="1" ht="15" customHeight="1" x14ac:dyDescent="0.2">
      <c r="A54" s="448" t="s">
        <v>864</v>
      </c>
      <c r="B54" s="425">
        <v>34503</v>
      </c>
      <c r="C54" s="445">
        <v>200</v>
      </c>
      <c r="D54" s="446">
        <v>200</v>
      </c>
      <c r="E54" s="446">
        <v>200</v>
      </c>
      <c r="F54" s="447">
        <v>200</v>
      </c>
    </row>
    <row r="55" spans="1:7" s="38" customFormat="1" ht="25.5" customHeight="1" x14ac:dyDescent="0.2">
      <c r="A55" s="436" t="s">
        <v>867</v>
      </c>
      <c r="B55" s="425">
        <v>34949</v>
      </c>
      <c r="C55" s="445">
        <f>300+200</f>
        <v>500</v>
      </c>
      <c r="D55" s="446">
        <f>300+200</f>
        <v>500</v>
      </c>
      <c r="E55" s="446">
        <f>300+200</f>
        <v>500</v>
      </c>
      <c r="F55" s="447">
        <v>500</v>
      </c>
    </row>
    <row r="56" spans="1:7" s="38" customFormat="1" ht="15" customHeight="1" x14ac:dyDescent="0.2">
      <c r="A56" s="436" t="s">
        <v>94</v>
      </c>
      <c r="B56" s="425" t="s">
        <v>95</v>
      </c>
      <c r="C56" s="445">
        <v>200</v>
      </c>
      <c r="D56" s="446">
        <v>200</v>
      </c>
      <c r="E56" s="446">
        <v>200</v>
      </c>
      <c r="F56" s="447">
        <v>200</v>
      </c>
    </row>
    <row r="57" spans="1:7" s="38" customFormat="1" ht="15" customHeight="1" x14ac:dyDescent="0.2">
      <c r="A57" s="436" t="s">
        <v>96</v>
      </c>
      <c r="B57" s="425">
        <v>34090</v>
      </c>
      <c r="C57" s="445">
        <f>400+200</f>
        <v>600</v>
      </c>
      <c r="D57" s="446">
        <f>400+200</f>
        <v>600</v>
      </c>
      <c r="E57" s="446">
        <f>400+200</f>
        <v>600</v>
      </c>
      <c r="F57" s="447">
        <v>600</v>
      </c>
    </row>
    <row r="58" spans="1:7" s="38" customFormat="1" ht="25.5" customHeight="1" x14ac:dyDescent="0.2">
      <c r="A58" s="436" t="s">
        <v>97</v>
      </c>
      <c r="B58" s="425">
        <v>34352</v>
      </c>
      <c r="C58" s="445">
        <v>5000</v>
      </c>
      <c r="D58" s="446">
        <v>5000</v>
      </c>
      <c r="E58" s="446">
        <v>5000</v>
      </c>
      <c r="F58" s="447">
        <v>5000</v>
      </c>
    </row>
    <row r="59" spans="1:7" s="38" customFormat="1" ht="15" customHeight="1" x14ac:dyDescent="0.2">
      <c r="A59" s="436" t="s">
        <v>253</v>
      </c>
      <c r="B59" s="425">
        <v>34341</v>
      </c>
      <c r="C59" s="445">
        <v>1000</v>
      </c>
      <c r="D59" s="446">
        <v>1000</v>
      </c>
      <c r="E59" s="446">
        <v>1000</v>
      </c>
      <c r="F59" s="447">
        <v>1000</v>
      </c>
    </row>
    <row r="60" spans="1:7" s="38" customFormat="1" ht="15.75" customHeight="1" x14ac:dyDescent="0.2">
      <c r="A60" s="428" t="s">
        <v>305</v>
      </c>
      <c r="B60" s="425"/>
      <c r="C60" s="426">
        <f>SUM(C61:C62)</f>
        <v>101919</v>
      </c>
      <c r="D60" s="426">
        <f>SUM(D61:D62)</f>
        <v>40000</v>
      </c>
      <c r="E60" s="435">
        <f>SUM(E61:E62)</f>
        <v>40000</v>
      </c>
      <c r="F60" s="429">
        <f>SUM(F61:F62)</f>
        <v>40000</v>
      </c>
    </row>
    <row r="61" spans="1:7" s="38" customFormat="1" ht="25.5" customHeight="1" x14ac:dyDescent="0.2">
      <c r="A61" s="449" t="s">
        <v>306</v>
      </c>
      <c r="B61" s="450"/>
      <c r="C61" s="451">
        <v>61919</v>
      </c>
      <c r="D61" s="452">
        <v>0</v>
      </c>
      <c r="E61" s="452">
        <v>0</v>
      </c>
      <c r="F61" s="453">
        <v>0</v>
      </c>
    </row>
    <row r="62" spans="1:7" s="38" customFormat="1" ht="25.5" customHeight="1" x14ac:dyDescent="0.2">
      <c r="A62" s="449" t="s">
        <v>307</v>
      </c>
      <c r="B62" s="443"/>
      <c r="C62" s="437">
        <v>40000</v>
      </c>
      <c r="D62" s="438">
        <v>40000</v>
      </c>
      <c r="E62" s="438">
        <v>40000</v>
      </c>
      <c r="F62" s="439">
        <v>40000</v>
      </c>
    </row>
    <row r="63" spans="1:7" s="38" customFormat="1" ht="6" customHeight="1" x14ac:dyDescent="0.2">
      <c r="A63" s="454"/>
      <c r="B63" s="450"/>
      <c r="C63" s="451"/>
      <c r="D63" s="452"/>
      <c r="E63" s="452"/>
      <c r="F63" s="453"/>
    </row>
    <row r="64" spans="1:7" s="38" customFormat="1" ht="29.25" customHeight="1" x14ac:dyDescent="0.2">
      <c r="A64" s="43" t="s">
        <v>254</v>
      </c>
      <c r="B64" s="44"/>
      <c r="C64" s="45">
        <v>314651</v>
      </c>
      <c r="D64" s="455">
        <v>312934</v>
      </c>
      <c r="E64" s="456">
        <v>387303</v>
      </c>
      <c r="F64" s="147">
        <v>551092</v>
      </c>
      <c r="G64" s="151"/>
    </row>
    <row r="65" spans="1:6" s="38" customFormat="1" ht="6" customHeight="1" x14ac:dyDescent="0.2">
      <c r="A65" s="457"/>
      <c r="B65" s="450"/>
      <c r="C65" s="458"/>
      <c r="D65" s="459"/>
      <c r="E65" s="459"/>
      <c r="F65" s="460"/>
    </row>
    <row r="66" spans="1:6" s="38" customFormat="1" ht="16.5" customHeight="1" thickBot="1" x14ac:dyDescent="0.25">
      <c r="A66" s="46" t="s">
        <v>99</v>
      </c>
      <c r="B66" s="47"/>
      <c r="C66" s="48">
        <f>C5+C24+C64</f>
        <v>23797817</v>
      </c>
      <c r="D66" s="461">
        <f>D5+D24+D64</f>
        <v>24204096</v>
      </c>
      <c r="E66" s="461">
        <f>E5+E24+E64</f>
        <v>25111241</v>
      </c>
      <c r="F66" s="49">
        <f>F5+F24+F64</f>
        <v>26035198</v>
      </c>
    </row>
  </sheetData>
  <mergeCells count="4">
    <mergeCell ref="A2:F2"/>
    <mergeCell ref="A3:A4"/>
    <mergeCell ref="B3:B4"/>
    <mergeCell ref="C3:F3"/>
  </mergeCells>
  <printOptions horizontalCentered="1"/>
  <pageMargins left="0.39370078740157483" right="0.39370078740157483" top="0.59055118110236227" bottom="0.39370078740157483" header="0.31496062992125984" footer="0.11811023622047245"/>
  <pageSetup paperSize="9" scale="94" firstPageNumber="4" fitToHeight="0" orientation="portrait" useFirstPageNumber="1" r:id="rId1"/>
  <headerFooter>
    <oddHeader>&amp;L&amp;"Tahoma,Kurzíva"&amp;9Střednědobý výhled rozpočtu kraje na léta 2022 - 2025&amp;R&amp;"Tahoma,Kurzíva"&amp;9Přehled očekávaných účelových dotací v letech 2022 - 2025</oddHeader>
    <oddFooter>&amp;C&amp;"Tahoma,Obyčejné"&amp;P</oddFooter>
  </headerFooter>
  <rowBreaks count="1" manualBreakCount="1">
    <brk id="4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VH113"/>
  <sheetViews>
    <sheetView zoomScaleNormal="100" zoomScaleSheetLayoutView="100" workbookViewId="0">
      <selection activeCell="J3" sqref="J3"/>
    </sheetView>
  </sheetViews>
  <sheetFormatPr defaultRowHeight="12.75" x14ac:dyDescent="0.2"/>
  <cols>
    <col min="1" max="1" width="40.7109375" style="168" customWidth="1"/>
    <col min="2" max="2" width="8.7109375" style="168" hidden="1" customWidth="1"/>
    <col min="3" max="8" width="10.7109375" style="168" customWidth="1"/>
    <col min="9" max="9" width="40.7109375" style="168" customWidth="1"/>
    <col min="10" max="244" width="9.140625" style="168"/>
    <col min="245" max="245" width="5.5703125" style="168" customWidth="1"/>
    <col min="246" max="246" width="32" style="168" customWidth="1"/>
    <col min="247" max="248" width="9.85546875" style="168" customWidth="1"/>
    <col min="249" max="250" width="9.42578125" style="168" customWidth="1"/>
    <col min="251" max="251" width="11.140625" style="168" customWidth="1"/>
    <col min="252" max="254" width="8.5703125" style="168" customWidth="1"/>
    <col min="255" max="255" width="32.140625" style="168" customWidth="1"/>
    <col min="256" max="256" width="8" style="168" hidden="1" customWidth="1"/>
    <col min="257" max="500" width="9.140625" style="168"/>
    <col min="501" max="501" width="5.5703125" style="168" customWidth="1"/>
    <col min="502" max="502" width="32" style="168" customWidth="1"/>
    <col min="503" max="504" width="9.85546875" style="168" customWidth="1"/>
    <col min="505" max="506" width="9.42578125" style="168" customWidth="1"/>
    <col min="507" max="507" width="11.140625" style="168" customWidth="1"/>
    <col min="508" max="510" width="8.5703125" style="168" customWidth="1"/>
    <col min="511" max="511" width="32.140625" style="168" customWidth="1"/>
    <col min="512" max="512" width="8" style="168" hidden="1" customWidth="1"/>
    <col min="513" max="756" width="9.140625" style="168"/>
    <col min="757" max="757" width="5.5703125" style="168" customWidth="1"/>
    <col min="758" max="758" width="32" style="168" customWidth="1"/>
    <col min="759" max="760" width="9.85546875" style="168" customWidth="1"/>
    <col min="761" max="762" width="9.42578125" style="168" customWidth="1"/>
    <col min="763" max="763" width="11.140625" style="168" customWidth="1"/>
    <col min="764" max="766" width="8.5703125" style="168" customWidth="1"/>
    <col min="767" max="767" width="32.140625" style="168" customWidth="1"/>
    <col min="768" max="768" width="8" style="168" hidden="1" customWidth="1"/>
    <col min="769" max="1012" width="9.140625" style="168"/>
    <col min="1013" max="1013" width="5.5703125" style="168" customWidth="1"/>
    <col min="1014" max="1014" width="32" style="168" customWidth="1"/>
    <col min="1015" max="1016" width="9.85546875" style="168" customWidth="1"/>
    <col min="1017" max="1018" width="9.42578125" style="168" customWidth="1"/>
    <col min="1019" max="1019" width="11.140625" style="168" customWidth="1"/>
    <col min="1020" max="1022" width="8.5703125" style="168" customWidth="1"/>
    <col min="1023" max="1023" width="32.140625" style="168" customWidth="1"/>
    <col min="1024" max="1024" width="8" style="168" hidden="1" customWidth="1"/>
    <col min="1025" max="1268" width="9.140625" style="168"/>
    <col min="1269" max="1269" width="5.5703125" style="168" customWidth="1"/>
    <col min="1270" max="1270" width="32" style="168" customWidth="1"/>
    <col min="1271" max="1272" width="9.85546875" style="168" customWidth="1"/>
    <col min="1273" max="1274" width="9.42578125" style="168" customWidth="1"/>
    <col min="1275" max="1275" width="11.140625" style="168" customWidth="1"/>
    <col min="1276" max="1278" width="8.5703125" style="168" customWidth="1"/>
    <col min="1279" max="1279" width="32.140625" style="168" customWidth="1"/>
    <col min="1280" max="1280" width="8" style="168" hidden="1" customWidth="1"/>
    <col min="1281" max="1524" width="9.140625" style="168"/>
    <col min="1525" max="1525" width="5.5703125" style="168" customWidth="1"/>
    <col min="1526" max="1526" width="32" style="168" customWidth="1"/>
    <col min="1527" max="1528" width="9.85546875" style="168" customWidth="1"/>
    <col min="1529" max="1530" width="9.42578125" style="168" customWidth="1"/>
    <col min="1531" max="1531" width="11.140625" style="168" customWidth="1"/>
    <col min="1532" max="1534" width="8.5703125" style="168" customWidth="1"/>
    <col min="1535" max="1535" width="32.140625" style="168" customWidth="1"/>
    <col min="1536" max="1536" width="8" style="168" hidden="1" customWidth="1"/>
    <col min="1537" max="1780" width="9.140625" style="168"/>
    <col min="1781" max="1781" width="5.5703125" style="168" customWidth="1"/>
    <col min="1782" max="1782" width="32" style="168" customWidth="1"/>
    <col min="1783" max="1784" width="9.85546875" style="168" customWidth="1"/>
    <col min="1785" max="1786" width="9.42578125" style="168" customWidth="1"/>
    <col min="1787" max="1787" width="11.140625" style="168" customWidth="1"/>
    <col min="1788" max="1790" width="8.5703125" style="168" customWidth="1"/>
    <col min="1791" max="1791" width="32.140625" style="168" customWidth="1"/>
    <col min="1792" max="1792" width="8" style="168" hidden="1" customWidth="1"/>
    <col min="1793" max="2036" width="9.140625" style="168"/>
    <col min="2037" max="2037" width="5.5703125" style="168" customWidth="1"/>
    <col min="2038" max="2038" width="32" style="168" customWidth="1"/>
    <col min="2039" max="2040" width="9.85546875" style="168" customWidth="1"/>
    <col min="2041" max="2042" width="9.42578125" style="168" customWidth="1"/>
    <col min="2043" max="2043" width="11.140625" style="168" customWidth="1"/>
    <col min="2044" max="2046" width="8.5703125" style="168" customWidth="1"/>
    <col min="2047" max="2047" width="32.140625" style="168" customWidth="1"/>
    <col min="2048" max="2048" width="8" style="168" hidden="1" customWidth="1"/>
    <col min="2049" max="2292" width="9.140625" style="168"/>
    <col min="2293" max="2293" width="5.5703125" style="168" customWidth="1"/>
    <col min="2294" max="2294" width="32" style="168" customWidth="1"/>
    <col min="2295" max="2296" width="9.85546875" style="168" customWidth="1"/>
    <col min="2297" max="2298" width="9.42578125" style="168" customWidth="1"/>
    <col min="2299" max="2299" width="11.140625" style="168" customWidth="1"/>
    <col min="2300" max="2302" width="8.5703125" style="168" customWidth="1"/>
    <col min="2303" max="2303" width="32.140625" style="168" customWidth="1"/>
    <col min="2304" max="2304" width="8" style="168" hidden="1" customWidth="1"/>
    <col min="2305" max="2548" width="9.140625" style="168"/>
    <col min="2549" max="2549" width="5.5703125" style="168" customWidth="1"/>
    <col min="2550" max="2550" width="32" style="168" customWidth="1"/>
    <col min="2551" max="2552" width="9.85546875" style="168" customWidth="1"/>
    <col min="2553" max="2554" width="9.42578125" style="168" customWidth="1"/>
    <col min="2555" max="2555" width="11.140625" style="168" customWidth="1"/>
    <col min="2556" max="2558" width="8.5703125" style="168" customWidth="1"/>
    <col min="2559" max="2559" width="32.140625" style="168" customWidth="1"/>
    <col min="2560" max="2560" width="8" style="168" hidden="1" customWidth="1"/>
    <col min="2561" max="2804" width="9.140625" style="168"/>
    <col min="2805" max="2805" width="5.5703125" style="168" customWidth="1"/>
    <col min="2806" max="2806" width="32" style="168" customWidth="1"/>
    <col min="2807" max="2808" width="9.85546875" style="168" customWidth="1"/>
    <col min="2809" max="2810" width="9.42578125" style="168" customWidth="1"/>
    <col min="2811" max="2811" width="11.140625" style="168" customWidth="1"/>
    <col min="2812" max="2814" width="8.5703125" style="168" customWidth="1"/>
    <col min="2815" max="2815" width="32.140625" style="168" customWidth="1"/>
    <col min="2816" max="2816" width="8" style="168" hidden="1" customWidth="1"/>
    <col min="2817" max="3060" width="9.140625" style="168"/>
    <col min="3061" max="3061" width="5.5703125" style="168" customWidth="1"/>
    <col min="3062" max="3062" width="32" style="168" customWidth="1"/>
    <col min="3063" max="3064" width="9.85546875" style="168" customWidth="1"/>
    <col min="3065" max="3066" width="9.42578125" style="168" customWidth="1"/>
    <col min="3067" max="3067" width="11.140625" style="168" customWidth="1"/>
    <col min="3068" max="3070" width="8.5703125" style="168" customWidth="1"/>
    <col min="3071" max="3071" width="32.140625" style="168" customWidth="1"/>
    <col min="3072" max="3072" width="8" style="168" hidden="1" customWidth="1"/>
    <col min="3073" max="3316" width="9.140625" style="168"/>
    <col min="3317" max="3317" width="5.5703125" style="168" customWidth="1"/>
    <col min="3318" max="3318" width="32" style="168" customWidth="1"/>
    <col min="3319" max="3320" width="9.85546875" style="168" customWidth="1"/>
    <col min="3321" max="3322" width="9.42578125" style="168" customWidth="1"/>
    <col min="3323" max="3323" width="11.140625" style="168" customWidth="1"/>
    <col min="3324" max="3326" width="8.5703125" style="168" customWidth="1"/>
    <col min="3327" max="3327" width="32.140625" style="168" customWidth="1"/>
    <col min="3328" max="3328" width="8" style="168" hidden="1" customWidth="1"/>
    <col min="3329" max="3572" width="9.140625" style="168"/>
    <col min="3573" max="3573" width="5.5703125" style="168" customWidth="1"/>
    <col min="3574" max="3574" width="32" style="168" customWidth="1"/>
    <col min="3575" max="3576" width="9.85546875" style="168" customWidth="1"/>
    <col min="3577" max="3578" width="9.42578125" style="168" customWidth="1"/>
    <col min="3579" max="3579" width="11.140625" style="168" customWidth="1"/>
    <col min="3580" max="3582" width="8.5703125" style="168" customWidth="1"/>
    <col min="3583" max="3583" width="32.140625" style="168" customWidth="1"/>
    <col min="3584" max="3584" width="8" style="168" hidden="1" customWidth="1"/>
    <col min="3585" max="3828" width="9.140625" style="168"/>
    <col min="3829" max="3829" width="5.5703125" style="168" customWidth="1"/>
    <col min="3830" max="3830" width="32" style="168" customWidth="1"/>
    <col min="3831" max="3832" width="9.85546875" style="168" customWidth="1"/>
    <col min="3833" max="3834" width="9.42578125" style="168" customWidth="1"/>
    <col min="3835" max="3835" width="11.140625" style="168" customWidth="1"/>
    <col min="3836" max="3838" width="8.5703125" style="168" customWidth="1"/>
    <col min="3839" max="3839" width="32.140625" style="168" customWidth="1"/>
    <col min="3840" max="3840" width="8" style="168" hidden="1" customWidth="1"/>
    <col min="3841" max="4084" width="9.140625" style="168"/>
    <col min="4085" max="4085" width="5.5703125" style="168" customWidth="1"/>
    <col min="4086" max="4086" width="32" style="168" customWidth="1"/>
    <col min="4087" max="4088" width="9.85546875" style="168" customWidth="1"/>
    <col min="4089" max="4090" width="9.42578125" style="168" customWidth="1"/>
    <col min="4091" max="4091" width="11.140625" style="168" customWidth="1"/>
    <col min="4092" max="4094" width="8.5703125" style="168" customWidth="1"/>
    <col min="4095" max="4095" width="32.140625" style="168" customWidth="1"/>
    <col min="4096" max="4096" width="8" style="168" hidden="1" customWidth="1"/>
    <col min="4097" max="4340" width="9.140625" style="168"/>
    <col min="4341" max="4341" width="5.5703125" style="168" customWidth="1"/>
    <col min="4342" max="4342" width="32" style="168" customWidth="1"/>
    <col min="4343" max="4344" width="9.85546875" style="168" customWidth="1"/>
    <col min="4345" max="4346" width="9.42578125" style="168" customWidth="1"/>
    <col min="4347" max="4347" width="11.140625" style="168" customWidth="1"/>
    <col min="4348" max="4350" width="8.5703125" style="168" customWidth="1"/>
    <col min="4351" max="4351" width="32.140625" style="168" customWidth="1"/>
    <col min="4352" max="4352" width="8" style="168" hidden="1" customWidth="1"/>
    <col min="4353" max="4596" width="9.140625" style="168"/>
    <col min="4597" max="4597" width="5.5703125" style="168" customWidth="1"/>
    <col min="4598" max="4598" width="32" style="168" customWidth="1"/>
    <col min="4599" max="4600" width="9.85546875" style="168" customWidth="1"/>
    <col min="4601" max="4602" width="9.42578125" style="168" customWidth="1"/>
    <col min="4603" max="4603" width="11.140625" style="168" customWidth="1"/>
    <col min="4604" max="4606" width="8.5703125" style="168" customWidth="1"/>
    <col min="4607" max="4607" width="32.140625" style="168" customWidth="1"/>
    <col min="4608" max="4608" width="8" style="168" hidden="1" customWidth="1"/>
    <col min="4609" max="4852" width="9.140625" style="168"/>
    <col min="4853" max="4853" width="5.5703125" style="168" customWidth="1"/>
    <col min="4854" max="4854" width="32" style="168" customWidth="1"/>
    <col min="4855" max="4856" width="9.85546875" style="168" customWidth="1"/>
    <col min="4857" max="4858" width="9.42578125" style="168" customWidth="1"/>
    <col min="4859" max="4859" width="11.140625" style="168" customWidth="1"/>
    <col min="4860" max="4862" width="8.5703125" style="168" customWidth="1"/>
    <col min="4863" max="4863" width="32.140625" style="168" customWidth="1"/>
    <col min="4864" max="4864" width="8" style="168" hidden="1" customWidth="1"/>
    <col min="4865" max="5108" width="9.140625" style="168"/>
    <col min="5109" max="5109" width="5.5703125" style="168" customWidth="1"/>
    <col min="5110" max="5110" width="32" style="168" customWidth="1"/>
    <col min="5111" max="5112" width="9.85546875" style="168" customWidth="1"/>
    <col min="5113" max="5114" width="9.42578125" style="168" customWidth="1"/>
    <col min="5115" max="5115" width="11.140625" style="168" customWidth="1"/>
    <col min="5116" max="5118" width="8.5703125" style="168" customWidth="1"/>
    <col min="5119" max="5119" width="32.140625" style="168" customWidth="1"/>
    <col min="5120" max="5120" width="8" style="168" hidden="1" customWidth="1"/>
    <col min="5121" max="5364" width="9.140625" style="168"/>
    <col min="5365" max="5365" width="5.5703125" style="168" customWidth="1"/>
    <col min="5366" max="5366" width="32" style="168" customWidth="1"/>
    <col min="5367" max="5368" width="9.85546875" style="168" customWidth="1"/>
    <col min="5369" max="5370" width="9.42578125" style="168" customWidth="1"/>
    <col min="5371" max="5371" width="11.140625" style="168" customWidth="1"/>
    <col min="5372" max="5374" width="8.5703125" style="168" customWidth="1"/>
    <col min="5375" max="5375" width="32.140625" style="168" customWidth="1"/>
    <col min="5376" max="5376" width="8" style="168" hidden="1" customWidth="1"/>
    <col min="5377" max="5620" width="9.140625" style="168"/>
    <col min="5621" max="5621" width="5.5703125" style="168" customWidth="1"/>
    <col min="5622" max="5622" width="32" style="168" customWidth="1"/>
    <col min="5623" max="5624" width="9.85546875" style="168" customWidth="1"/>
    <col min="5625" max="5626" width="9.42578125" style="168" customWidth="1"/>
    <col min="5627" max="5627" width="11.140625" style="168" customWidth="1"/>
    <col min="5628" max="5630" width="8.5703125" style="168" customWidth="1"/>
    <col min="5631" max="5631" width="32.140625" style="168" customWidth="1"/>
    <col min="5632" max="5632" width="8" style="168" hidden="1" customWidth="1"/>
    <col min="5633" max="5876" width="9.140625" style="168"/>
    <col min="5877" max="5877" width="5.5703125" style="168" customWidth="1"/>
    <col min="5878" max="5878" width="32" style="168" customWidth="1"/>
    <col min="5879" max="5880" width="9.85546875" style="168" customWidth="1"/>
    <col min="5881" max="5882" width="9.42578125" style="168" customWidth="1"/>
    <col min="5883" max="5883" width="11.140625" style="168" customWidth="1"/>
    <col min="5884" max="5886" width="8.5703125" style="168" customWidth="1"/>
    <col min="5887" max="5887" width="32.140625" style="168" customWidth="1"/>
    <col min="5888" max="5888" width="8" style="168" hidden="1" customWidth="1"/>
    <col min="5889" max="6132" width="9.140625" style="168"/>
    <col min="6133" max="6133" width="5.5703125" style="168" customWidth="1"/>
    <col min="6134" max="6134" width="32" style="168" customWidth="1"/>
    <col min="6135" max="6136" width="9.85546875" style="168" customWidth="1"/>
    <col min="6137" max="6138" width="9.42578125" style="168" customWidth="1"/>
    <col min="6139" max="6139" width="11.140625" style="168" customWidth="1"/>
    <col min="6140" max="6142" width="8.5703125" style="168" customWidth="1"/>
    <col min="6143" max="6143" width="32.140625" style="168" customWidth="1"/>
    <col min="6144" max="6144" width="8" style="168" hidden="1" customWidth="1"/>
    <col min="6145" max="6388" width="9.140625" style="168"/>
    <col min="6389" max="6389" width="5.5703125" style="168" customWidth="1"/>
    <col min="6390" max="6390" width="32" style="168" customWidth="1"/>
    <col min="6391" max="6392" width="9.85546875" style="168" customWidth="1"/>
    <col min="6393" max="6394" width="9.42578125" style="168" customWidth="1"/>
    <col min="6395" max="6395" width="11.140625" style="168" customWidth="1"/>
    <col min="6396" max="6398" width="8.5703125" style="168" customWidth="1"/>
    <col min="6399" max="6399" width="32.140625" style="168" customWidth="1"/>
    <col min="6400" max="6400" width="8" style="168" hidden="1" customWidth="1"/>
    <col min="6401" max="6644" width="9.140625" style="168"/>
    <col min="6645" max="6645" width="5.5703125" style="168" customWidth="1"/>
    <col min="6646" max="6646" width="32" style="168" customWidth="1"/>
    <col min="6647" max="6648" width="9.85546875" style="168" customWidth="1"/>
    <col min="6649" max="6650" width="9.42578125" style="168" customWidth="1"/>
    <col min="6651" max="6651" width="11.140625" style="168" customWidth="1"/>
    <col min="6652" max="6654" width="8.5703125" style="168" customWidth="1"/>
    <col min="6655" max="6655" width="32.140625" style="168" customWidth="1"/>
    <col min="6656" max="6656" width="8" style="168" hidden="1" customWidth="1"/>
    <col min="6657" max="6900" width="9.140625" style="168"/>
    <col min="6901" max="6901" width="5.5703125" style="168" customWidth="1"/>
    <col min="6902" max="6902" width="32" style="168" customWidth="1"/>
    <col min="6903" max="6904" width="9.85546875" style="168" customWidth="1"/>
    <col min="6905" max="6906" width="9.42578125" style="168" customWidth="1"/>
    <col min="6907" max="6907" width="11.140625" style="168" customWidth="1"/>
    <col min="6908" max="6910" width="8.5703125" style="168" customWidth="1"/>
    <col min="6911" max="6911" width="32.140625" style="168" customWidth="1"/>
    <col min="6912" max="6912" width="8" style="168" hidden="1" customWidth="1"/>
    <col min="6913" max="7156" width="9.140625" style="168"/>
    <col min="7157" max="7157" width="5.5703125" style="168" customWidth="1"/>
    <col min="7158" max="7158" width="32" style="168" customWidth="1"/>
    <col min="7159" max="7160" width="9.85546875" style="168" customWidth="1"/>
    <col min="7161" max="7162" width="9.42578125" style="168" customWidth="1"/>
    <col min="7163" max="7163" width="11.140625" style="168" customWidth="1"/>
    <col min="7164" max="7166" width="8.5703125" style="168" customWidth="1"/>
    <col min="7167" max="7167" width="32.140625" style="168" customWidth="1"/>
    <col min="7168" max="7168" width="8" style="168" hidden="1" customWidth="1"/>
    <col min="7169" max="7412" width="9.140625" style="168"/>
    <col min="7413" max="7413" width="5.5703125" style="168" customWidth="1"/>
    <col min="7414" max="7414" width="32" style="168" customWidth="1"/>
    <col min="7415" max="7416" width="9.85546875" style="168" customWidth="1"/>
    <col min="7417" max="7418" width="9.42578125" style="168" customWidth="1"/>
    <col min="7419" max="7419" width="11.140625" style="168" customWidth="1"/>
    <col min="7420" max="7422" width="8.5703125" style="168" customWidth="1"/>
    <col min="7423" max="7423" width="32.140625" style="168" customWidth="1"/>
    <col min="7424" max="7424" width="8" style="168" hidden="1" customWidth="1"/>
    <col min="7425" max="7668" width="9.140625" style="168"/>
    <col min="7669" max="7669" width="5.5703125" style="168" customWidth="1"/>
    <col min="7670" max="7670" width="32" style="168" customWidth="1"/>
    <col min="7671" max="7672" width="9.85546875" style="168" customWidth="1"/>
    <col min="7673" max="7674" width="9.42578125" style="168" customWidth="1"/>
    <col min="7675" max="7675" width="11.140625" style="168" customWidth="1"/>
    <col min="7676" max="7678" width="8.5703125" style="168" customWidth="1"/>
    <col min="7679" max="7679" width="32.140625" style="168" customWidth="1"/>
    <col min="7680" max="7680" width="8" style="168" hidden="1" customWidth="1"/>
    <col min="7681" max="7924" width="9.140625" style="168"/>
    <col min="7925" max="7925" width="5.5703125" style="168" customWidth="1"/>
    <col min="7926" max="7926" width="32" style="168" customWidth="1"/>
    <col min="7927" max="7928" width="9.85546875" style="168" customWidth="1"/>
    <col min="7929" max="7930" width="9.42578125" style="168" customWidth="1"/>
    <col min="7931" max="7931" width="11.140625" style="168" customWidth="1"/>
    <col min="7932" max="7934" width="8.5703125" style="168" customWidth="1"/>
    <col min="7935" max="7935" width="32.140625" style="168" customWidth="1"/>
    <col min="7936" max="7936" width="8" style="168" hidden="1" customWidth="1"/>
    <col min="7937" max="8180" width="9.140625" style="168"/>
    <col min="8181" max="8181" width="5.5703125" style="168" customWidth="1"/>
    <col min="8182" max="8182" width="32" style="168" customWidth="1"/>
    <col min="8183" max="8184" width="9.85546875" style="168" customWidth="1"/>
    <col min="8185" max="8186" width="9.42578125" style="168" customWidth="1"/>
    <col min="8187" max="8187" width="11.140625" style="168" customWidth="1"/>
    <col min="8188" max="8190" width="8.5703125" style="168" customWidth="1"/>
    <col min="8191" max="8191" width="32.140625" style="168" customWidth="1"/>
    <col min="8192" max="8192" width="8" style="168" hidden="1" customWidth="1"/>
    <col min="8193" max="8436" width="9.140625" style="168"/>
    <col min="8437" max="8437" width="5.5703125" style="168" customWidth="1"/>
    <col min="8438" max="8438" width="32" style="168" customWidth="1"/>
    <col min="8439" max="8440" width="9.85546875" style="168" customWidth="1"/>
    <col min="8441" max="8442" width="9.42578125" style="168" customWidth="1"/>
    <col min="8443" max="8443" width="11.140625" style="168" customWidth="1"/>
    <col min="8444" max="8446" width="8.5703125" style="168" customWidth="1"/>
    <col min="8447" max="8447" width="32.140625" style="168" customWidth="1"/>
    <col min="8448" max="8448" width="8" style="168" hidden="1" customWidth="1"/>
    <col min="8449" max="8692" width="9.140625" style="168"/>
    <col min="8693" max="8693" width="5.5703125" style="168" customWidth="1"/>
    <col min="8694" max="8694" width="32" style="168" customWidth="1"/>
    <col min="8695" max="8696" width="9.85546875" style="168" customWidth="1"/>
    <col min="8697" max="8698" width="9.42578125" style="168" customWidth="1"/>
    <col min="8699" max="8699" width="11.140625" style="168" customWidth="1"/>
    <col min="8700" max="8702" width="8.5703125" style="168" customWidth="1"/>
    <col min="8703" max="8703" width="32.140625" style="168" customWidth="1"/>
    <col min="8704" max="8704" width="8" style="168" hidden="1" customWidth="1"/>
    <col min="8705" max="8948" width="9.140625" style="168"/>
    <col min="8949" max="8949" width="5.5703125" style="168" customWidth="1"/>
    <col min="8950" max="8950" width="32" style="168" customWidth="1"/>
    <col min="8951" max="8952" width="9.85546875" style="168" customWidth="1"/>
    <col min="8953" max="8954" width="9.42578125" style="168" customWidth="1"/>
    <col min="8955" max="8955" width="11.140625" style="168" customWidth="1"/>
    <col min="8956" max="8958" width="8.5703125" style="168" customWidth="1"/>
    <col min="8959" max="8959" width="32.140625" style="168" customWidth="1"/>
    <col min="8960" max="8960" width="8" style="168" hidden="1" customWidth="1"/>
    <col min="8961" max="9204" width="9.140625" style="168"/>
    <col min="9205" max="9205" width="5.5703125" style="168" customWidth="1"/>
    <col min="9206" max="9206" width="32" style="168" customWidth="1"/>
    <col min="9207" max="9208" width="9.85546875" style="168" customWidth="1"/>
    <col min="9209" max="9210" width="9.42578125" style="168" customWidth="1"/>
    <col min="9211" max="9211" width="11.140625" style="168" customWidth="1"/>
    <col min="9212" max="9214" width="8.5703125" style="168" customWidth="1"/>
    <col min="9215" max="9215" width="32.140625" style="168" customWidth="1"/>
    <col min="9216" max="9216" width="8" style="168" hidden="1" customWidth="1"/>
    <col min="9217" max="9460" width="9.140625" style="168"/>
    <col min="9461" max="9461" width="5.5703125" style="168" customWidth="1"/>
    <col min="9462" max="9462" width="32" style="168" customWidth="1"/>
    <col min="9463" max="9464" width="9.85546875" style="168" customWidth="1"/>
    <col min="9465" max="9466" width="9.42578125" style="168" customWidth="1"/>
    <col min="9467" max="9467" width="11.140625" style="168" customWidth="1"/>
    <col min="9468" max="9470" width="8.5703125" style="168" customWidth="1"/>
    <col min="9471" max="9471" width="32.140625" style="168" customWidth="1"/>
    <col min="9472" max="9472" width="8" style="168" hidden="1" customWidth="1"/>
    <col min="9473" max="9716" width="9.140625" style="168"/>
    <col min="9717" max="9717" width="5.5703125" style="168" customWidth="1"/>
    <col min="9718" max="9718" width="32" style="168" customWidth="1"/>
    <col min="9719" max="9720" width="9.85546875" style="168" customWidth="1"/>
    <col min="9721" max="9722" width="9.42578125" style="168" customWidth="1"/>
    <col min="9723" max="9723" width="11.140625" style="168" customWidth="1"/>
    <col min="9724" max="9726" width="8.5703125" style="168" customWidth="1"/>
    <col min="9727" max="9727" width="32.140625" style="168" customWidth="1"/>
    <col min="9728" max="9728" width="8" style="168" hidden="1" customWidth="1"/>
    <col min="9729" max="9972" width="9.140625" style="168"/>
    <col min="9973" max="9973" width="5.5703125" style="168" customWidth="1"/>
    <col min="9974" max="9974" width="32" style="168" customWidth="1"/>
    <col min="9975" max="9976" width="9.85546875" style="168" customWidth="1"/>
    <col min="9977" max="9978" width="9.42578125" style="168" customWidth="1"/>
    <col min="9979" max="9979" width="11.140625" style="168" customWidth="1"/>
    <col min="9980" max="9982" width="8.5703125" style="168" customWidth="1"/>
    <col min="9983" max="9983" width="32.140625" style="168" customWidth="1"/>
    <col min="9984" max="9984" width="8" style="168" hidden="1" customWidth="1"/>
    <col min="9985" max="10228" width="9.140625" style="168"/>
    <col min="10229" max="10229" width="5.5703125" style="168" customWidth="1"/>
    <col min="10230" max="10230" width="32" style="168" customWidth="1"/>
    <col min="10231" max="10232" width="9.85546875" style="168" customWidth="1"/>
    <col min="10233" max="10234" width="9.42578125" style="168" customWidth="1"/>
    <col min="10235" max="10235" width="11.140625" style="168" customWidth="1"/>
    <col min="10236" max="10238" width="8.5703125" style="168" customWidth="1"/>
    <col min="10239" max="10239" width="32.140625" style="168" customWidth="1"/>
    <col min="10240" max="10240" width="8" style="168" hidden="1" customWidth="1"/>
    <col min="10241" max="10484" width="9.140625" style="168"/>
    <col min="10485" max="10485" width="5.5703125" style="168" customWidth="1"/>
    <col min="10486" max="10486" width="32" style="168" customWidth="1"/>
    <col min="10487" max="10488" width="9.85546875" style="168" customWidth="1"/>
    <col min="10489" max="10490" width="9.42578125" style="168" customWidth="1"/>
    <col min="10491" max="10491" width="11.140625" style="168" customWidth="1"/>
    <col min="10492" max="10494" width="8.5703125" style="168" customWidth="1"/>
    <col min="10495" max="10495" width="32.140625" style="168" customWidth="1"/>
    <col min="10496" max="10496" width="8" style="168" hidden="1" customWidth="1"/>
    <col min="10497" max="10740" width="9.140625" style="168"/>
    <col min="10741" max="10741" width="5.5703125" style="168" customWidth="1"/>
    <col min="10742" max="10742" width="32" style="168" customWidth="1"/>
    <col min="10743" max="10744" width="9.85546875" style="168" customWidth="1"/>
    <col min="10745" max="10746" width="9.42578125" style="168" customWidth="1"/>
    <col min="10747" max="10747" width="11.140625" style="168" customWidth="1"/>
    <col min="10748" max="10750" width="8.5703125" style="168" customWidth="1"/>
    <col min="10751" max="10751" width="32.140625" style="168" customWidth="1"/>
    <col min="10752" max="10752" width="8" style="168" hidden="1" customWidth="1"/>
    <col min="10753" max="10996" width="9.140625" style="168"/>
    <col min="10997" max="10997" width="5.5703125" style="168" customWidth="1"/>
    <col min="10998" max="10998" width="32" style="168" customWidth="1"/>
    <col min="10999" max="11000" width="9.85546875" style="168" customWidth="1"/>
    <col min="11001" max="11002" width="9.42578125" style="168" customWidth="1"/>
    <col min="11003" max="11003" width="11.140625" style="168" customWidth="1"/>
    <col min="11004" max="11006" width="8.5703125" style="168" customWidth="1"/>
    <col min="11007" max="11007" width="32.140625" style="168" customWidth="1"/>
    <col min="11008" max="11008" width="8" style="168" hidden="1" customWidth="1"/>
    <col min="11009" max="11252" width="9.140625" style="168"/>
    <col min="11253" max="11253" width="5.5703125" style="168" customWidth="1"/>
    <col min="11254" max="11254" width="32" style="168" customWidth="1"/>
    <col min="11255" max="11256" width="9.85546875" style="168" customWidth="1"/>
    <col min="11257" max="11258" width="9.42578125" style="168" customWidth="1"/>
    <col min="11259" max="11259" width="11.140625" style="168" customWidth="1"/>
    <col min="11260" max="11262" width="8.5703125" style="168" customWidth="1"/>
    <col min="11263" max="11263" width="32.140625" style="168" customWidth="1"/>
    <col min="11264" max="11264" width="8" style="168" hidden="1" customWidth="1"/>
    <col min="11265" max="11508" width="9.140625" style="168"/>
    <col min="11509" max="11509" width="5.5703125" style="168" customWidth="1"/>
    <col min="11510" max="11510" width="32" style="168" customWidth="1"/>
    <col min="11511" max="11512" width="9.85546875" style="168" customWidth="1"/>
    <col min="11513" max="11514" width="9.42578125" style="168" customWidth="1"/>
    <col min="11515" max="11515" width="11.140625" style="168" customWidth="1"/>
    <col min="11516" max="11518" width="8.5703125" style="168" customWidth="1"/>
    <col min="11519" max="11519" width="32.140625" style="168" customWidth="1"/>
    <col min="11520" max="11520" width="8" style="168" hidden="1" customWidth="1"/>
    <col min="11521" max="11764" width="9.140625" style="168"/>
    <col min="11765" max="11765" width="5.5703125" style="168" customWidth="1"/>
    <col min="11766" max="11766" width="32" style="168" customWidth="1"/>
    <col min="11767" max="11768" width="9.85546875" style="168" customWidth="1"/>
    <col min="11769" max="11770" width="9.42578125" style="168" customWidth="1"/>
    <col min="11771" max="11771" width="11.140625" style="168" customWidth="1"/>
    <col min="11772" max="11774" width="8.5703125" style="168" customWidth="1"/>
    <col min="11775" max="11775" width="32.140625" style="168" customWidth="1"/>
    <col min="11776" max="11776" width="8" style="168" hidden="1" customWidth="1"/>
    <col min="11777" max="12020" width="9.140625" style="168"/>
    <col min="12021" max="12021" width="5.5703125" style="168" customWidth="1"/>
    <col min="12022" max="12022" width="32" style="168" customWidth="1"/>
    <col min="12023" max="12024" width="9.85546875" style="168" customWidth="1"/>
    <col min="12025" max="12026" width="9.42578125" style="168" customWidth="1"/>
    <col min="12027" max="12027" width="11.140625" style="168" customWidth="1"/>
    <col min="12028" max="12030" width="8.5703125" style="168" customWidth="1"/>
    <col min="12031" max="12031" width="32.140625" style="168" customWidth="1"/>
    <col min="12032" max="12032" width="8" style="168" hidden="1" customWidth="1"/>
    <col min="12033" max="12276" width="9.140625" style="168"/>
    <col min="12277" max="12277" width="5.5703125" style="168" customWidth="1"/>
    <col min="12278" max="12278" width="32" style="168" customWidth="1"/>
    <col min="12279" max="12280" width="9.85546875" style="168" customWidth="1"/>
    <col min="12281" max="12282" width="9.42578125" style="168" customWidth="1"/>
    <col min="12283" max="12283" width="11.140625" style="168" customWidth="1"/>
    <col min="12284" max="12286" width="8.5703125" style="168" customWidth="1"/>
    <col min="12287" max="12287" width="32.140625" style="168" customWidth="1"/>
    <col min="12288" max="12288" width="8" style="168" hidden="1" customWidth="1"/>
    <col min="12289" max="12532" width="9.140625" style="168"/>
    <col min="12533" max="12533" width="5.5703125" style="168" customWidth="1"/>
    <col min="12534" max="12534" width="32" style="168" customWidth="1"/>
    <col min="12535" max="12536" width="9.85546875" style="168" customWidth="1"/>
    <col min="12537" max="12538" width="9.42578125" style="168" customWidth="1"/>
    <col min="12539" max="12539" width="11.140625" style="168" customWidth="1"/>
    <col min="12540" max="12542" width="8.5703125" style="168" customWidth="1"/>
    <col min="12543" max="12543" width="32.140625" style="168" customWidth="1"/>
    <col min="12544" max="12544" width="8" style="168" hidden="1" customWidth="1"/>
    <col min="12545" max="12788" width="9.140625" style="168"/>
    <col min="12789" max="12789" width="5.5703125" style="168" customWidth="1"/>
    <col min="12790" max="12790" width="32" style="168" customWidth="1"/>
    <col min="12791" max="12792" width="9.85546875" style="168" customWidth="1"/>
    <col min="12793" max="12794" width="9.42578125" style="168" customWidth="1"/>
    <col min="12795" max="12795" width="11.140625" style="168" customWidth="1"/>
    <col min="12796" max="12798" width="8.5703125" style="168" customWidth="1"/>
    <col min="12799" max="12799" width="32.140625" style="168" customWidth="1"/>
    <col min="12800" max="12800" width="8" style="168" hidden="1" customWidth="1"/>
    <col min="12801" max="13044" width="9.140625" style="168"/>
    <col min="13045" max="13045" width="5.5703125" style="168" customWidth="1"/>
    <col min="13046" max="13046" width="32" style="168" customWidth="1"/>
    <col min="13047" max="13048" width="9.85546875" style="168" customWidth="1"/>
    <col min="13049" max="13050" width="9.42578125" style="168" customWidth="1"/>
    <col min="13051" max="13051" width="11.140625" style="168" customWidth="1"/>
    <col min="13052" max="13054" width="8.5703125" style="168" customWidth="1"/>
    <col min="13055" max="13055" width="32.140625" style="168" customWidth="1"/>
    <col min="13056" max="13056" width="8" style="168" hidden="1" customWidth="1"/>
    <col min="13057" max="13300" width="9.140625" style="168"/>
    <col min="13301" max="13301" width="5.5703125" style="168" customWidth="1"/>
    <col min="13302" max="13302" width="32" style="168" customWidth="1"/>
    <col min="13303" max="13304" width="9.85546875" style="168" customWidth="1"/>
    <col min="13305" max="13306" width="9.42578125" style="168" customWidth="1"/>
    <col min="13307" max="13307" width="11.140625" style="168" customWidth="1"/>
    <col min="13308" max="13310" width="8.5703125" style="168" customWidth="1"/>
    <col min="13311" max="13311" width="32.140625" style="168" customWidth="1"/>
    <col min="13312" max="13312" width="8" style="168" hidden="1" customWidth="1"/>
    <col min="13313" max="13556" width="9.140625" style="168"/>
    <col min="13557" max="13557" width="5.5703125" style="168" customWidth="1"/>
    <col min="13558" max="13558" width="32" style="168" customWidth="1"/>
    <col min="13559" max="13560" width="9.85546875" style="168" customWidth="1"/>
    <col min="13561" max="13562" width="9.42578125" style="168" customWidth="1"/>
    <col min="13563" max="13563" width="11.140625" style="168" customWidth="1"/>
    <col min="13564" max="13566" width="8.5703125" style="168" customWidth="1"/>
    <col min="13567" max="13567" width="32.140625" style="168" customWidth="1"/>
    <col min="13568" max="13568" width="8" style="168" hidden="1" customWidth="1"/>
    <col min="13569" max="13812" width="9.140625" style="168"/>
    <col min="13813" max="13813" width="5.5703125" style="168" customWidth="1"/>
    <col min="13814" max="13814" width="32" style="168" customWidth="1"/>
    <col min="13815" max="13816" width="9.85546875" style="168" customWidth="1"/>
    <col min="13817" max="13818" width="9.42578125" style="168" customWidth="1"/>
    <col min="13819" max="13819" width="11.140625" style="168" customWidth="1"/>
    <col min="13820" max="13822" width="8.5703125" style="168" customWidth="1"/>
    <col min="13823" max="13823" width="32.140625" style="168" customWidth="1"/>
    <col min="13824" max="13824" width="8" style="168" hidden="1" customWidth="1"/>
    <col min="13825" max="14068" width="9.140625" style="168"/>
    <col min="14069" max="14069" width="5.5703125" style="168" customWidth="1"/>
    <col min="14070" max="14070" width="32" style="168" customWidth="1"/>
    <col min="14071" max="14072" width="9.85546875" style="168" customWidth="1"/>
    <col min="14073" max="14074" width="9.42578125" style="168" customWidth="1"/>
    <col min="14075" max="14075" width="11.140625" style="168" customWidth="1"/>
    <col min="14076" max="14078" width="8.5703125" style="168" customWidth="1"/>
    <col min="14079" max="14079" width="32.140625" style="168" customWidth="1"/>
    <col min="14080" max="14080" width="8" style="168" hidden="1" customWidth="1"/>
    <col min="14081" max="14324" width="9.140625" style="168"/>
    <col min="14325" max="14325" width="5.5703125" style="168" customWidth="1"/>
    <col min="14326" max="14326" width="32" style="168" customWidth="1"/>
    <col min="14327" max="14328" width="9.85546875" style="168" customWidth="1"/>
    <col min="14329" max="14330" width="9.42578125" style="168" customWidth="1"/>
    <col min="14331" max="14331" width="11.140625" style="168" customWidth="1"/>
    <col min="14332" max="14334" width="8.5703125" style="168" customWidth="1"/>
    <col min="14335" max="14335" width="32.140625" style="168" customWidth="1"/>
    <col min="14336" max="14336" width="8" style="168" hidden="1" customWidth="1"/>
    <col min="14337" max="14580" width="9.140625" style="168"/>
    <col min="14581" max="14581" width="5.5703125" style="168" customWidth="1"/>
    <col min="14582" max="14582" width="32" style="168" customWidth="1"/>
    <col min="14583" max="14584" width="9.85546875" style="168" customWidth="1"/>
    <col min="14585" max="14586" width="9.42578125" style="168" customWidth="1"/>
    <col min="14587" max="14587" width="11.140625" style="168" customWidth="1"/>
    <col min="14588" max="14590" width="8.5703125" style="168" customWidth="1"/>
    <col min="14591" max="14591" width="32.140625" style="168" customWidth="1"/>
    <col min="14592" max="14592" width="8" style="168" hidden="1" customWidth="1"/>
    <col min="14593" max="14836" width="9.140625" style="168"/>
    <col min="14837" max="14837" width="5.5703125" style="168" customWidth="1"/>
    <col min="14838" max="14838" width="32" style="168" customWidth="1"/>
    <col min="14839" max="14840" width="9.85546875" style="168" customWidth="1"/>
    <col min="14841" max="14842" width="9.42578125" style="168" customWidth="1"/>
    <col min="14843" max="14843" width="11.140625" style="168" customWidth="1"/>
    <col min="14844" max="14846" width="8.5703125" style="168" customWidth="1"/>
    <col min="14847" max="14847" width="32.140625" style="168" customWidth="1"/>
    <col min="14848" max="14848" width="8" style="168" hidden="1" customWidth="1"/>
    <col min="14849" max="15092" width="9.140625" style="168"/>
    <col min="15093" max="15093" width="5.5703125" style="168" customWidth="1"/>
    <col min="15094" max="15094" width="32" style="168" customWidth="1"/>
    <col min="15095" max="15096" width="9.85546875" style="168" customWidth="1"/>
    <col min="15097" max="15098" width="9.42578125" style="168" customWidth="1"/>
    <col min="15099" max="15099" width="11.140625" style="168" customWidth="1"/>
    <col min="15100" max="15102" width="8.5703125" style="168" customWidth="1"/>
    <col min="15103" max="15103" width="32.140625" style="168" customWidth="1"/>
    <col min="15104" max="15104" width="8" style="168" hidden="1" customWidth="1"/>
    <col min="15105" max="15348" width="9.140625" style="168"/>
    <col min="15349" max="15349" width="5.5703125" style="168" customWidth="1"/>
    <col min="15350" max="15350" width="32" style="168" customWidth="1"/>
    <col min="15351" max="15352" width="9.85546875" style="168" customWidth="1"/>
    <col min="15353" max="15354" width="9.42578125" style="168" customWidth="1"/>
    <col min="15355" max="15355" width="11.140625" style="168" customWidth="1"/>
    <col min="15356" max="15358" width="8.5703125" style="168" customWidth="1"/>
    <col min="15359" max="15359" width="32.140625" style="168" customWidth="1"/>
    <col min="15360" max="15360" width="8" style="168" hidden="1" customWidth="1"/>
    <col min="15361" max="15604" width="9.140625" style="168"/>
    <col min="15605" max="15605" width="5.5703125" style="168" customWidth="1"/>
    <col min="15606" max="15606" width="32" style="168" customWidth="1"/>
    <col min="15607" max="15608" width="9.85546875" style="168" customWidth="1"/>
    <col min="15609" max="15610" width="9.42578125" style="168" customWidth="1"/>
    <col min="15611" max="15611" width="11.140625" style="168" customWidth="1"/>
    <col min="15612" max="15614" width="8.5703125" style="168" customWidth="1"/>
    <col min="15615" max="15615" width="32.140625" style="168" customWidth="1"/>
    <col min="15616" max="15616" width="8" style="168" hidden="1" customWidth="1"/>
    <col min="15617" max="15860" width="9.140625" style="168"/>
    <col min="15861" max="15861" width="5.5703125" style="168" customWidth="1"/>
    <col min="15862" max="15862" width="32" style="168" customWidth="1"/>
    <col min="15863" max="15864" width="9.85546875" style="168" customWidth="1"/>
    <col min="15865" max="15866" width="9.42578125" style="168" customWidth="1"/>
    <col min="15867" max="15867" width="11.140625" style="168" customWidth="1"/>
    <col min="15868" max="15870" width="8.5703125" style="168" customWidth="1"/>
    <col min="15871" max="15871" width="32.140625" style="168" customWidth="1"/>
    <col min="15872" max="15872" width="8" style="168" hidden="1" customWidth="1"/>
    <col min="15873" max="16116" width="9.140625" style="168"/>
    <col min="16117" max="16117" width="5.5703125" style="168" customWidth="1"/>
    <col min="16118" max="16118" width="32" style="168" customWidth="1"/>
    <col min="16119" max="16120" width="9.85546875" style="168" customWidth="1"/>
    <col min="16121" max="16122" width="9.42578125" style="168" customWidth="1"/>
    <col min="16123" max="16123" width="11.140625" style="168" customWidth="1"/>
    <col min="16124" max="16126" width="8.5703125" style="168" customWidth="1"/>
    <col min="16127" max="16127" width="32.140625" style="168" customWidth="1"/>
    <col min="16128" max="16128" width="8" style="168" hidden="1" customWidth="1"/>
    <col min="16129" max="16384" width="9.140625" style="168"/>
  </cols>
  <sheetData>
    <row r="1" spans="1:10" s="63" customFormat="1" ht="15" customHeight="1" x14ac:dyDescent="0.2">
      <c r="A1" s="21" t="s">
        <v>60</v>
      </c>
      <c r="B1" s="21"/>
    </row>
    <row r="2" spans="1:10" s="63" customFormat="1" ht="34.5" customHeight="1" x14ac:dyDescent="0.2">
      <c r="A2" s="593" t="s">
        <v>238</v>
      </c>
      <c r="B2" s="593"/>
      <c r="C2" s="594"/>
      <c r="D2" s="594"/>
      <c r="E2" s="594"/>
      <c r="F2" s="594"/>
      <c r="G2" s="594"/>
      <c r="H2" s="594"/>
      <c r="I2" s="594"/>
    </row>
    <row r="3" spans="1:10" s="63" customFormat="1" ht="13.5" thickBot="1" x14ac:dyDescent="0.25">
      <c r="A3" s="64"/>
      <c r="B3" s="64"/>
      <c r="C3" s="65"/>
      <c r="D3" s="148"/>
      <c r="E3" s="148"/>
      <c r="F3" s="148"/>
      <c r="G3" s="148"/>
      <c r="H3" s="148"/>
      <c r="I3" s="65" t="s">
        <v>101</v>
      </c>
    </row>
    <row r="4" spans="1:10" s="63" customFormat="1" ht="21" customHeight="1" x14ac:dyDescent="0.2">
      <c r="A4" s="595" t="s">
        <v>142</v>
      </c>
      <c r="B4" s="152"/>
      <c r="C4" s="597" t="s">
        <v>144</v>
      </c>
      <c r="D4" s="599" t="s">
        <v>187</v>
      </c>
      <c r="E4" s="600"/>
      <c r="F4" s="601"/>
      <c r="G4" s="601"/>
      <c r="H4" s="602"/>
      <c r="I4" s="603" t="s">
        <v>153</v>
      </c>
    </row>
    <row r="5" spans="1:10" s="63" customFormat="1" ht="21" customHeight="1" thickBot="1" x14ac:dyDescent="0.25">
      <c r="A5" s="596"/>
      <c r="B5" s="153"/>
      <c r="C5" s="598"/>
      <c r="D5" s="62" t="s">
        <v>255</v>
      </c>
      <c r="E5" s="62" t="s">
        <v>309</v>
      </c>
      <c r="F5" s="62" t="s">
        <v>456</v>
      </c>
      <c r="G5" s="62" t="s">
        <v>468</v>
      </c>
      <c r="H5" s="62" t="s">
        <v>528</v>
      </c>
      <c r="I5" s="604"/>
    </row>
    <row r="6" spans="1:10" s="66" customFormat="1" ht="18" customHeight="1" x14ac:dyDescent="0.2">
      <c r="A6" s="605" t="s">
        <v>154</v>
      </c>
      <c r="B6" s="606"/>
      <c r="C6" s="606"/>
      <c r="D6" s="606"/>
      <c r="E6" s="606"/>
      <c r="F6" s="606"/>
      <c r="G6" s="606"/>
      <c r="H6" s="606"/>
      <c r="I6" s="607"/>
    </row>
    <row r="7" spans="1:10" s="66" customFormat="1" ht="35.25" customHeight="1" thickBot="1" x14ac:dyDescent="0.25">
      <c r="A7" s="67" t="s">
        <v>311</v>
      </c>
      <c r="B7" s="154">
        <v>3458</v>
      </c>
      <c r="C7" s="337">
        <f>SUM(D7:H7)</f>
        <v>7240.68</v>
      </c>
      <c r="D7" s="73">
        <v>3858.53</v>
      </c>
      <c r="E7" s="73">
        <v>3382.15</v>
      </c>
      <c r="F7" s="68">
        <v>0</v>
      </c>
      <c r="G7" s="83">
        <v>0</v>
      </c>
      <c r="H7" s="83">
        <v>0</v>
      </c>
      <c r="I7" s="155" t="s">
        <v>312</v>
      </c>
      <c r="J7" s="329"/>
    </row>
    <row r="8" spans="1:10" s="66" customFormat="1" ht="25.5" customHeight="1" thickBot="1" x14ac:dyDescent="0.25">
      <c r="A8" s="74" t="s">
        <v>155</v>
      </c>
      <c r="B8" s="156"/>
      <c r="C8" s="76">
        <f>SUM(C7)</f>
        <v>7240.68</v>
      </c>
      <c r="D8" s="76">
        <f t="shared" ref="D8:H8" si="0">SUM(D7)</f>
        <v>3858.53</v>
      </c>
      <c r="E8" s="76">
        <f t="shared" si="0"/>
        <v>3382.15</v>
      </c>
      <c r="F8" s="541">
        <f t="shared" si="0"/>
        <v>0</v>
      </c>
      <c r="G8" s="541">
        <f t="shared" si="0"/>
        <v>0</v>
      </c>
      <c r="H8" s="76">
        <f t="shared" si="0"/>
        <v>0</v>
      </c>
      <c r="I8" s="143"/>
    </row>
    <row r="9" spans="1:10" s="66" customFormat="1" ht="18" customHeight="1" x14ac:dyDescent="0.2">
      <c r="A9" s="608" t="s">
        <v>614</v>
      </c>
      <c r="B9" s="609"/>
      <c r="C9" s="609"/>
      <c r="D9" s="609"/>
      <c r="E9" s="609"/>
      <c r="F9" s="609"/>
      <c r="G9" s="609"/>
      <c r="H9" s="609"/>
      <c r="I9" s="610"/>
    </row>
    <row r="10" spans="1:10" s="66" customFormat="1" ht="34.5" customHeight="1" x14ac:dyDescent="0.2">
      <c r="A10" s="67" t="s">
        <v>257</v>
      </c>
      <c r="B10" s="154">
        <v>3424</v>
      </c>
      <c r="C10" s="337">
        <f t="shared" ref="C10:C17" si="1">SUM(D10:H10)</f>
        <v>68800</v>
      </c>
      <c r="D10" s="73">
        <v>68800</v>
      </c>
      <c r="E10" s="73">
        <v>0</v>
      </c>
      <c r="F10" s="68">
        <v>0</v>
      </c>
      <c r="G10" s="83">
        <v>0</v>
      </c>
      <c r="H10" s="83">
        <f>SUM(I10:K10)</f>
        <v>0</v>
      </c>
      <c r="I10" s="155" t="s">
        <v>313</v>
      </c>
    </row>
    <row r="11" spans="1:10" s="66" customFormat="1" ht="34.5" customHeight="1" x14ac:dyDescent="0.2">
      <c r="A11" s="67" t="s">
        <v>471</v>
      </c>
      <c r="B11" s="154">
        <v>3405</v>
      </c>
      <c r="C11" s="337">
        <f t="shared" si="1"/>
        <v>8935</v>
      </c>
      <c r="D11" s="73">
        <v>8935</v>
      </c>
      <c r="E11" s="73">
        <v>0</v>
      </c>
      <c r="F11" s="68">
        <v>0</v>
      </c>
      <c r="G11" s="83">
        <v>0</v>
      </c>
      <c r="H11" s="83">
        <f>SUM(I11:K11)</f>
        <v>0</v>
      </c>
      <c r="I11" s="155" t="s">
        <v>314</v>
      </c>
    </row>
    <row r="12" spans="1:10" s="66" customFormat="1" ht="34.5" customHeight="1" x14ac:dyDescent="0.2">
      <c r="A12" s="67" t="s">
        <v>472</v>
      </c>
      <c r="B12" s="154">
        <v>3409</v>
      </c>
      <c r="C12" s="337">
        <f t="shared" si="1"/>
        <v>31800</v>
      </c>
      <c r="D12" s="73">
        <v>31800</v>
      </c>
      <c r="E12" s="73">
        <v>0</v>
      </c>
      <c r="F12" s="68">
        <v>0</v>
      </c>
      <c r="G12" s="83">
        <v>0</v>
      </c>
      <c r="H12" s="83">
        <f>SUM(I12:K12)</f>
        <v>0</v>
      </c>
      <c r="I12" s="155" t="s">
        <v>314</v>
      </c>
    </row>
    <row r="13" spans="1:10" s="66" customFormat="1" ht="34.5" customHeight="1" x14ac:dyDescent="0.2">
      <c r="A13" s="67" t="s">
        <v>256</v>
      </c>
      <c r="B13" s="154">
        <v>3429</v>
      </c>
      <c r="C13" s="337">
        <f t="shared" si="1"/>
        <v>71600</v>
      </c>
      <c r="D13" s="73">
        <v>71600</v>
      </c>
      <c r="E13" s="73">
        <v>0</v>
      </c>
      <c r="F13" s="68">
        <v>0</v>
      </c>
      <c r="G13" s="83">
        <v>0</v>
      </c>
      <c r="H13" s="83">
        <f>SUM(I13:K13)</f>
        <v>0</v>
      </c>
      <c r="I13" s="155" t="s">
        <v>316</v>
      </c>
    </row>
    <row r="14" spans="1:10" s="66" customFormat="1" ht="34.5" customHeight="1" x14ac:dyDescent="0.2">
      <c r="A14" s="67" t="s">
        <v>315</v>
      </c>
      <c r="B14" s="154">
        <v>3456</v>
      </c>
      <c r="C14" s="337">
        <f t="shared" si="1"/>
        <v>39933</v>
      </c>
      <c r="D14" s="73">
        <v>39933</v>
      </c>
      <c r="E14" s="73">
        <v>0</v>
      </c>
      <c r="F14" s="68">
        <v>0</v>
      </c>
      <c r="G14" s="83">
        <v>0</v>
      </c>
      <c r="H14" s="83">
        <f>SUM(I14:K14)</f>
        <v>0</v>
      </c>
      <c r="I14" s="157" t="s">
        <v>316</v>
      </c>
    </row>
    <row r="15" spans="1:10" s="66" customFormat="1" ht="34.5" customHeight="1" x14ac:dyDescent="0.2">
      <c r="A15" s="67" t="s">
        <v>473</v>
      </c>
      <c r="B15" s="154">
        <v>3481</v>
      </c>
      <c r="C15" s="337">
        <f t="shared" si="1"/>
        <v>130000</v>
      </c>
      <c r="D15" s="73">
        <v>130000</v>
      </c>
      <c r="E15" s="73">
        <v>0</v>
      </c>
      <c r="F15" s="68">
        <v>0</v>
      </c>
      <c r="G15" s="83">
        <v>0</v>
      </c>
      <c r="H15" s="83">
        <f t="shared" ref="H15:H17" si="2">SUM(I15:K15)</f>
        <v>0</v>
      </c>
      <c r="I15" s="157" t="s">
        <v>803</v>
      </c>
    </row>
    <row r="16" spans="1:10" s="66" customFormat="1" ht="34.5" customHeight="1" x14ac:dyDescent="0.2">
      <c r="A16" s="67" t="s">
        <v>474</v>
      </c>
      <c r="B16" s="154">
        <v>3482</v>
      </c>
      <c r="C16" s="337">
        <f t="shared" si="1"/>
        <v>81500</v>
      </c>
      <c r="D16" s="73">
        <v>81500</v>
      </c>
      <c r="E16" s="73">
        <v>0</v>
      </c>
      <c r="F16" s="68">
        <v>0</v>
      </c>
      <c r="G16" s="83">
        <v>0</v>
      </c>
      <c r="H16" s="83">
        <f t="shared" si="2"/>
        <v>0</v>
      </c>
      <c r="I16" s="157" t="s">
        <v>804</v>
      </c>
    </row>
    <row r="17" spans="1:10" s="66" customFormat="1" ht="35.25" customHeight="1" thickBot="1" x14ac:dyDescent="0.25">
      <c r="A17" s="67" t="s">
        <v>475</v>
      </c>
      <c r="B17" s="154">
        <v>3484</v>
      </c>
      <c r="C17" s="337">
        <f t="shared" si="1"/>
        <v>165663</v>
      </c>
      <c r="D17" s="73">
        <v>135263</v>
      </c>
      <c r="E17" s="73">
        <v>30400</v>
      </c>
      <c r="F17" s="68">
        <v>0</v>
      </c>
      <c r="G17" s="83">
        <v>0</v>
      </c>
      <c r="H17" s="83">
        <f t="shared" si="2"/>
        <v>0</v>
      </c>
      <c r="I17" s="157" t="s">
        <v>804</v>
      </c>
    </row>
    <row r="18" spans="1:10" s="66" customFormat="1" ht="16.5" customHeight="1" thickBot="1" x14ac:dyDescent="0.25">
      <c r="A18" s="74" t="s">
        <v>832</v>
      </c>
      <c r="B18" s="156"/>
      <c r="C18" s="71">
        <f t="shared" ref="C18:H18" si="3">SUM(C10:C17)</f>
        <v>598231</v>
      </c>
      <c r="D18" s="71">
        <f t="shared" si="3"/>
        <v>567831</v>
      </c>
      <c r="E18" s="71">
        <f t="shared" si="3"/>
        <v>30400</v>
      </c>
      <c r="F18" s="542">
        <f t="shared" si="3"/>
        <v>0</v>
      </c>
      <c r="G18" s="542">
        <f t="shared" si="3"/>
        <v>0</v>
      </c>
      <c r="H18" s="71">
        <f t="shared" si="3"/>
        <v>0</v>
      </c>
      <c r="I18" s="72"/>
    </row>
    <row r="19" spans="1:10" s="66" customFormat="1" ht="18" customHeight="1" x14ac:dyDescent="0.2">
      <c r="A19" s="587" t="s">
        <v>685</v>
      </c>
      <c r="B19" s="588"/>
      <c r="C19" s="588"/>
      <c r="D19" s="588"/>
      <c r="E19" s="588"/>
      <c r="F19" s="588"/>
      <c r="G19" s="588"/>
      <c r="H19" s="588"/>
      <c r="I19" s="589"/>
    </row>
    <row r="20" spans="1:10" s="66" customFormat="1" ht="34.5" customHeight="1" x14ac:dyDescent="0.2">
      <c r="A20" s="149" t="s">
        <v>469</v>
      </c>
      <c r="B20" s="154">
        <v>3392</v>
      </c>
      <c r="C20" s="337">
        <f>SUM(D20:H20)</f>
        <v>11039</v>
      </c>
      <c r="D20" s="73">
        <v>11039</v>
      </c>
      <c r="E20" s="73">
        <v>0</v>
      </c>
      <c r="F20" s="68">
        <v>0</v>
      </c>
      <c r="G20" s="83">
        <v>0</v>
      </c>
      <c r="H20" s="83">
        <f>SUM(I20:K20)</f>
        <v>0</v>
      </c>
      <c r="I20" s="157" t="s">
        <v>898</v>
      </c>
    </row>
    <row r="21" spans="1:10" s="66" customFormat="1" ht="66" customHeight="1" thickBot="1" x14ac:dyDescent="0.25">
      <c r="A21" s="149" t="s">
        <v>470</v>
      </c>
      <c r="B21" s="154">
        <v>3262</v>
      </c>
      <c r="C21" s="337">
        <f>SUM(D21:H21)</f>
        <v>1075</v>
      </c>
      <c r="D21" s="73">
        <v>1000</v>
      </c>
      <c r="E21" s="73">
        <v>75</v>
      </c>
      <c r="F21" s="68">
        <v>0</v>
      </c>
      <c r="G21" s="83">
        <v>0</v>
      </c>
      <c r="H21" s="83">
        <f>SUM(I21:K21)</f>
        <v>0</v>
      </c>
      <c r="I21" s="155" t="s">
        <v>875</v>
      </c>
    </row>
    <row r="22" spans="1:10" s="66" customFormat="1" ht="15.75" customHeight="1" thickBot="1" x14ac:dyDescent="0.25">
      <c r="A22" s="74" t="s">
        <v>787</v>
      </c>
      <c r="B22" s="156"/>
      <c r="C22" s="71">
        <f t="shared" ref="C22:H22" si="4">SUM(C20:C21)</f>
        <v>12114</v>
      </c>
      <c r="D22" s="71">
        <f t="shared" si="4"/>
        <v>12039</v>
      </c>
      <c r="E22" s="71">
        <f t="shared" si="4"/>
        <v>75</v>
      </c>
      <c r="F22" s="542">
        <f t="shared" si="4"/>
        <v>0</v>
      </c>
      <c r="G22" s="71">
        <f t="shared" si="4"/>
        <v>0</v>
      </c>
      <c r="H22" s="71">
        <f t="shared" si="4"/>
        <v>0</v>
      </c>
      <c r="I22" s="72"/>
    </row>
    <row r="23" spans="1:10" s="66" customFormat="1" ht="18" customHeight="1" x14ac:dyDescent="0.2">
      <c r="A23" s="587" t="s">
        <v>147</v>
      </c>
      <c r="B23" s="588"/>
      <c r="C23" s="588"/>
      <c r="D23" s="588"/>
      <c r="E23" s="588"/>
      <c r="F23" s="588"/>
      <c r="G23" s="588"/>
      <c r="H23" s="588"/>
      <c r="I23" s="589"/>
    </row>
    <row r="24" spans="1:10" s="66" customFormat="1" ht="66" customHeight="1" x14ac:dyDescent="0.2">
      <c r="A24" s="149" t="s">
        <v>157</v>
      </c>
      <c r="B24" s="154">
        <v>3208</v>
      </c>
      <c r="C24" s="337">
        <f>SUM(D24:H24)</f>
        <v>94600</v>
      </c>
      <c r="D24" s="73">
        <v>47300</v>
      </c>
      <c r="E24" s="73">
        <v>47300</v>
      </c>
      <c r="F24" s="68">
        <v>0</v>
      </c>
      <c r="G24" s="83">
        <f t="shared" ref="G24:H26" si="5">SUM(H24:J24)</f>
        <v>0</v>
      </c>
      <c r="H24" s="83">
        <f t="shared" si="5"/>
        <v>0</v>
      </c>
      <c r="I24" s="155" t="s">
        <v>899</v>
      </c>
      <c r="J24" s="204"/>
    </row>
    <row r="25" spans="1:10" s="66" customFormat="1" ht="66" customHeight="1" x14ac:dyDescent="0.2">
      <c r="A25" s="149" t="s">
        <v>158</v>
      </c>
      <c r="B25" s="154">
        <v>3207</v>
      </c>
      <c r="C25" s="337">
        <f>SUM(D25:H25)</f>
        <v>99600</v>
      </c>
      <c r="D25" s="73">
        <v>49600</v>
      </c>
      <c r="E25" s="73">
        <v>50000</v>
      </c>
      <c r="F25" s="68">
        <v>0</v>
      </c>
      <c r="G25" s="83">
        <f t="shared" si="5"/>
        <v>0</v>
      </c>
      <c r="H25" s="83">
        <f t="shared" si="5"/>
        <v>0</v>
      </c>
      <c r="I25" s="155" t="s">
        <v>900</v>
      </c>
      <c r="J25" s="204"/>
    </row>
    <row r="26" spans="1:10" s="66" customFormat="1" ht="34.5" customHeight="1" thickBot="1" x14ac:dyDescent="0.25">
      <c r="A26" s="149" t="s">
        <v>156</v>
      </c>
      <c r="B26" s="154">
        <v>3399</v>
      </c>
      <c r="C26" s="337">
        <f>SUM(D26:H26)</f>
        <v>199930</v>
      </c>
      <c r="D26" s="73">
        <v>0</v>
      </c>
      <c r="E26" s="73">
        <v>70000</v>
      </c>
      <c r="F26" s="68">
        <v>129930</v>
      </c>
      <c r="G26" s="83">
        <f t="shared" si="5"/>
        <v>0</v>
      </c>
      <c r="H26" s="83">
        <f t="shared" si="5"/>
        <v>0</v>
      </c>
      <c r="I26" s="155" t="s">
        <v>805</v>
      </c>
    </row>
    <row r="27" spans="1:10" s="66" customFormat="1" ht="15.75" customHeight="1" thickBot="1" x14ac:dyDescent="0.25">
      <c r="A27" s="74" t="s">
        <v>148</v>
      </c>
      <c r="B27" s="156"/>
      <c r="C27" s="71">
        <f t="shared" ref="C27:H27" si="6">SUM(C24:C26)</f>
        <v>394130</v>
      </c>
      <c r="D27" s="71">
        <f t="shared" si="6"/>
        <v>96900</v>
      </c>
      <c r="E27" s="71">
        <f t="shared" si="6"/>
        <v>167300</v>
      </c>
      <c r="F27" s="542">
        <f t="shared" si="6"/>
        <v>129930</v>
      </c>
      <c r="G27" s="71">
        <f t="shared" si="6"/>
        <v>0</v>
      </c>
      <c r="H27" s="71">
        <f t="shared" si="6"/>
        <v>0</v>
      </c>
      <c r="I27" s="72"/>
    </row>
    <row r="28" spans="1:10" s="66" customFormat="1" ht="18" customHeight="1" x14ac:dyDescent="0.2">
      <c r="A28" s="587" t="s">
        <v>107</v>
      </c>
      <c r="B28" s="588"/>
      <c r="C28" s="588"/>
      <c r="D28" s="588"/>
      <c r="E28" s="588"/>
      <c r="F28" s="588"/>
      <c r="G28" s="588"/>
      <c r="H28" s="588"/>
      <c r="I28" s="589"/>
    </row>
    <row r="29" spans="1:10" s="66" customFormat="1" ht="34.5" customHeight="1" x14ac:dyDescent="0.2">
      <c r="A29" s="149" t="s">
        <v>317</v>
      </c>
      <c r="B29" s="154">
        <v>3236</v>
      </c>
      <c r="C29" s="337">
        <f>SUM(D29:H29)</f>
        <v>18378</v>
      </c>
      <c r="D29" s="73">
        <v>18378</v>
      </c>
      <c r="E29" s="73">
        <v>0</v>
      </c>
      <c r="F29" s="68">
        <v>0</v>
      </c>
      <c r="G29" s="83">
        <f>SUM(H29:J29)</f>
        <v>0</v>
      </c>
      <c r="H29" s="83">
        <f>SUM(I29:K29)</f>
        <v>0</v>
      </c>
      <c r="I29" s="155" t="s">
        <v>318</v>
      </c>
    </row>
    <row r="30" spans="1:10" s="66" customFormat="1" ht="34.5" customHeight="1" x14ac:dyDescent="0.2">
      <c r="A30" s="149" t="s">
        <v>159</v>
      </c>
      <c r="B30" s="154">
        <v>3234</v>
      </c>
      <c r="C30" s="337">
        <f>SUM(D30:H30)</f>
        <v>12000</v>
      </c>
      <c r="D30" s="73">
        <v>12000</v>
      </c>
      <c r="E30" s="73">
        <v>0</v>
      </c>
      <c r="F30" s="68">
        <v>0</v>
      </c>
      <c r="G30" s="83">
        <f>SUM(H30:J30)</f>
        <v>0</v>
      </c>
      <c r="H30" s="83">
        <f>SUM(I30:K30)</f>
        <v>0</v>
      </c>
      <c r="I30" s="155" t="s">
        <v>318</v>
      </c>
    </row>
    <row r="31" spans="1:10" s="66" customFormat="1" ht="24.75" customHeight="1" thickBot="1" x14ac:dyDescent="0.25">
      <c r="A31" s="149" t="s">
        <v>778</v>
      </c>
      <c r="B31" s="154">
        <v>8992</v>
      </c>
      <c r="C31" s="337">
        <f>SUM(D31:H31)</f>
        <v>743.42</v>
      </c>
      <c r="D31" s="73">
        <v>743.42</v>
      </c>
      <c r="E31" s="73">
        <v>0</v>
      </c>
      <c r="F31" s="68">
        <v>0</v>
      </c>
      <c r="G31" s="83">
        <f t="shared" ref="G31:H31" si="7">SUM(H31:J31)</f>
        <v>0</v>
      </c>
      <c r="H31" s="83">
        <f t="shared" si="7"/>
        <v>0</v>
      </c>
      <c r="I31" s="155" t="s">
        <v>802</v>
      </c>
    </row>
    <row r="32" spans="1:10" s="66" customFormat="1" ht="15.75" customHeight="1" thickBot="1" x14ac:dyDescent="0.25">
      <c r="A32" s="74" t="s">
        <v>112</v>
      </c>
      <c r="B32" s="156"/>
      <c r="C32" s="71">
        <f t="shared" ref="C32:H32" si="8">SUM(C29:C31)</f>
        <v>31121.42</v>
      </c>
      <c r="D32" s="71">
        <f t="shared" si="8"/>
        <v>31121.42</v>
      </c>
      <c r="E32" s="71">
        <f t="shared" si="8"/>
        <v>0</v>
      </c>
      <c r="F32" s="542">
        <f t="shared" si="8"/>
        <v>0</v>
      </c>
      <c r="G32" s="71">
        <f t="shared" si="8"/>
        <v>0</v>
      </c>
      <c r="H32" s="71">
        <f t="shared" si="8"/>
        <v>0</v>
      </c>
      <c r="I32" s="75"/>
    </row>
    <row r="33" spans="1:9" s="158" customFormat="1" ht="18" customHeight="1" x14ac:dyDescent="0.2">
      <c r="A33" s="605" t="s">
        <v>116</v>
      </c>
      <c r="B33" s="606"/>
      <c r="C33" s="606"/>
      <c r="D33" s="606"/>
      <c r="E33" s="606"/>
      <c r="F33" s="606"/>
      <c r="G33" s="606"/>
      <c r="H33" s="606"/>
      <c r="I33" s="607"/>
    </row>
    <row r="34" spans="1:9" s="66" customFormat="1" ht="35.25" customHeight="1" thickBot="1" x14ac:dyDescent="0.25">
      <c r="A34" s="149" t="s">
        <v>776</v>
      </c>
      <c r="B34" s="154">
        <v>3489</v>
      </c>
      <c r="C34" s="337">
        <f>SUM(D34:H34)</f>
        <v>960</v>
      </c>
      <c r="D34" s="73">
        <v>480</v>
      </c>
      <c r="E34" s="73">
        <v>480</v>
      </c>
      <c r="F34" s="68">
        <v>0</v>
      </c>
      <c r="G34" s="83">
        <f t="shared" ref="G34:H34" si="9">SUM(H34:J34)</f>
        <v>0</v>
      </c>
      <c r="H34" s="83">
        <f t="shared" si="9"/>
        <v>0</v>
      </c>
      <c r="I34" s="155" t="s">
        <v>790</v>
      </c>
    </row>
    <row r="35" spans="1:9" s="158" customFormat="1" ht="15.75" customHeight="1" thickBot="1" x14ac:dyDescent="0.25">
      <c r="A35" s="74" t="s">
        <v>117</v>
      </c>
      <c r="B35" s="156"/>
      <c r="C35" s="76">
        <f t="shared" ref="C35:H35" si="10">SUM(C34:C34)</f>
        <v>960</v>
      </c>
      <c r="D35" s="76">
        <f t="shared" si="10"/>
        <v>480</v>
      </c>
      <c r="E35" s="76">
        <f t="shared" si="10"/>
        <v>480</v>
      </c>
      <c r="F35" s="541">
        <f t="shared" si="10"/>
        <v>0</v>
      </c>
      <c r="G35" s="76">
        <f t="shared" si="10"/>
        <v>0</v>
      </c>
      <c r="H35" s="76">
        <f t="shared" si="10"/>
        <v>0</v>
      </c>
      <c r="I35" s="75"/>
    </row>
    <row r="36" spans="1:9" s="66" customFormat="1" ht="18" customHeight="1" x14ac:dyDescent="0.2">
      <c r="A36" s="77" t="s">
        <v>118</v>
      </c>
      <c r="B36" s="78"/>
      <c r="C36" s="78"/>
      <c r="D36" s="78"/>
      <c r="E36" s="78"/>
      <c r="F36" s="78"/>
      <c r="G36" s="78"/>
      <c r="H36" s="78"/>
      <c r="I36" s="79"/>
    </row>
    <row r="37" spans="1:9" s="66" customFormat="1" ht="34.5" customHeight="1" x14ac:dyDescent="0.2">
      <c r="A37" s="149" t="s">
        <v>319</v>
      </c>
      <c r="B37" s="154">
        <v>3459</v>
      </c>
      <c r="C37" s="337">
        <f t="shared" ref="C37:C51" si="11">SUM(D37:H37)</f>
        <v>8878.2900000000009</v>
      </c>
      <c r="D37" s="73">
        <v>8878.2900000000009</v>
      </c>
      <c r="E37" s="73">
        <v>0</v>
      </c>
      <c r="F37" s="68">
        <v>0</v>
      </c>
      <c r="G37" s="83">
        <f t="shared" ref="G37:H46" si="12">SUM(H37:J37)</f>
        <v>0</v>
      </c>
      <c r="H37" s="83">
        <f t="shared" si="12"/>
        <v>0</v>
      </c>
      <c r="I37" s="157" t="s">
        <v>320</v>
      </c>
    </row>
    <row r="38" spans="1:9" s="66" customFormat="1" ht="34.5" customHeight="1" x14ac:dyDescent="0.2">
      <c r="A38" s="149" t="s">
        <v>260</v>
      </c>
      <c r="B38" s="154">
        <v>3417</v>
      </c>
      <c r="C38" s="337">
        <f t="shared" si="11"/>
        <v>1979.06</v>
      </c>
      <c r="D38" s="73">
        <v>1979.06</v>
      </c>
      <c r="E38" s="73">
        <v>0</v>
      </c>
      <c r="F38" s="68">
        <v>0</v>
      </c>
      <c r="G38" s="83">
        <f t="shared" si="12"/>
        <v>0</v>
      </c>
      <c r="H38" s="83">
        <f t="shared" si="12"/>
        <v>0</v>
      </c>
      <c r="I38" s="157" t="s">
        <v>321</v>
      </c>
    </row>
    <row r="39" spans="1:9" s="66" customFormat="1" ht="34.5" customHeight="1" x14ac:dyDescent="0.2">
      <c r="A39" s="149" t="s">
        <v>262</v>
      </c>
      <c r="B39" s="154">
        <v>3419</v>
      </c>
      <c r="C39" s="337">
        <f t="shared" si="11"/>
        <v>3000</v>
      </c>
      <c r="D39" s="73">
        <v>3000</v>
      </c>
      <c r="E39" s="73">
        <v>0</v>
      </c>
      <c r="F39" s="68">
        <v>0</v>
      </c>
      <c r="G39" s="83">
        <f t="shared" si="12"/>
        <v>0</v>
      </c>
      <c r="H39" s="83">
        <f t="shared" si="12"/>
        <v>0</v>
      </c>
      <c r="I39" s="157" t="s">
        <v>322</v>
      </c>
    </row>
    <row r="40" spans="1:9" s="66" customFormat="1" ht="34.5" customHeight="1" x14ac:dyDescent="0.2">
      <c r="A40" s="149" t="s">
        <v>323</v>
      </c>
      <c r="B40" s="154">
        <v>3463</v>
      </c>
      <c r="C40" s="337">
        <f t="shared" si="11"/>
        <v>11873.27</v>
      </c>
      <c r="D40" s="73">
        <v>11873.27</v>
      </c>
      <c r="E40" s="73">
        <v>0</v>
      </c>
      <c r="F40" s="68">
        <v>0</v>
      </c>
      <c r="G40" s="83">
        <f t="shared" si="12"/>
        <v>0</v>
      </c>
      <c r="H40" s="83">
        <f t="shared" si="12"/>
        <v>0</v>
      </c>
      <c r="I40" s="155" t="s">
        <v>321</v>
      </c>
    </row>
    <row r="41" spans="1:9" s="66" customFormat="1" ht="34.5" customHeight="1" x14ac:dyDescent="0.2">
      <c r="A41" s="149" t="s">
        <v>324</v>
      </c>
      <c r="B41" s="154">
        <v>3460</v>
      </c>
      <c r="C41" s="337">
        <f t="shared" si="11"/>
        <v>5012.7700000000004</v>
      </c>
      <c r="D41" s="73">
        <v>5012.7700000000004</v>
      </c>
      <c r="E41" s="73">
        <v>0</v>
      </c>
      <c r="F41" s="68">
        <v>0</v>
      </c>
      <c r="G41" s="83">
        <f t="shared" si="12"/>
        <v>0</v>
      </c>
      <c r="H41" s="83">
        <f t="shared" si="12"/>
        <v>0</v>
      </c>
      <c r="I41" s="155" t="s">
        <v>321</v>
      </c>
    </row>
    <row r="42" spans="1:9" s="66" customFormat="1" ht="34.5" customHeight="1" x14ac:dyDescent="0.2">
      <c r="A42" s="149" t="s">
        <v>263</v>
      </c>
      <c r="B42" s="154">
        <v>3461</v>
      </c>
      <c r="C42" s="337">
        <f t="shared" si="11"/>
        <v>426.78</v>
      </c>
      <c r="D42" s="73">
        <v>426.78</v>
      </c>
      <c r="E42" s="73">
        <v>0</v>
      </c>
      <c r="F42" s="68">
        <v>0</v>
      </c>
      <c r="G42" s="83">
        <f t="shared" si="12"/>
        <v>0</v>
      </c>
      <c r="H42" s="83">
        <f t="shared" si="12"/>
        <v>0</v>
      </c>
      <c r="I42" s="155" t="s">
        <v>325</v>
      </c>
    </row>
    <row r="43" spans="1:9" s="66" customFormat="1" ht="34.5" customHeight="1" x14ac:dyDescent="0.2">
      <c r="A43" s="149" t="s">
        <v>261</v>
      </c>
      <c r="B43" s="154">
        <v>3420</v>
      </c>
      <c r="C43" s="337">
        <f t="shared" si="11"/>
        <v>10331.379999999999</v>
      </c>
      <c r="D43" s="73">
        <v>10331.379999999999</v>
      </c>
      <c r="E43" s="73">
        <v>0</v>
      </c>
      <c r="F43" s="68">
        <v>0</v>
      </c>
      <c r="G43" s="83">
        <f t="shared" si="12"/>
        <v>0</v>
      </c>
      <c r="H43" s="83">
        <f t="shared" si="12"/>
        <v>0</v>
      </c>
      <c r="I43" s="155" t="s">
        <v>326</v>
      </c>
    </row>
    <row r="44" spans="1:9" s="66" customFormat="1" ht="34.5" customHeight="1" x14ac:dyDescent="0.2">
      <c r="A44" s="149" t="s">
        <v>264</v>
      </c>
      <c r="B44" s="154">
        <v>3421</v>
      </c>
      <c r="C44" s="337">
        <f t="shared" si="11"/>
        <v>3909.06</v>
      </c>
      <c r="D44" s="73">
        <v>3909.06</v>
      </c>
      <c r="E44" s="73">
        <v>0</v>
      </c>
      <c r="F44" s="68">
        <v>0</v>
      </c>
      <c r="G44" s="83">
        <f t="shared" si="12"/>
        <v>0</v>
      </c>
      <c r="H44" s="83">
        <f t="shared" si="12"/>
        <v>0</v>
      </c>
      <c r="I44" s="155" t="s">
        <v>326</v>
      </c>
    </row>
    <row r="45" spans="1:9" s="66" customFormat="1" ht="34.5" customHeight="1" x14ac:dyDescent="0.2">
      <c r="A45" s="149" t="s">
        <v>486</v>
      </c>
      <c r="B45" s="154">
        <v>3337</v>
      </c>
      <c r="C45" s="337">
        <f t="shared" si="11"/>
        <v>9634.64</v>
      </c>
      <c r="D45" s="73">
        <v>9634.64</v>
      </c>
      <c r="E45" s="73">
        <v>0</v>
      </c>
      <c r="F45" s="68">
        <v>0</v>
      </c>
      <c r="G45" s="83">
        <f t="shared" si="12"/>
        <v>0</v>
      </c>
      <c r="H45" s="83">
        <f t="shared" si="12"/>
        <v>0</v>
      </c>
      <c r="I45" s="319" t="s">
        <v>799</v>
      </c>
    </row>
    <row r="46" spans="1:9" s="66" customFormat="1" ht="34.5" customHeight="1" x14ac:dyDescent="0.2">
      <c r="A46" s="149" t="s">
        <v>487</v>
      </c>
      <c r="B46" s="154">
        <v>3471</v>
      </c>
      <c r="C46" s="337">
        <f t="shared" si="11"/>
        <v>5575.4</v>
      </c>
      <c r="D46" s="73">
        <v>5575.4</v>
      </c>
      <c r="E46" s="73">
        <v>0</v>
      </c>
      <c r="F46" s="68">
        <v>0</v>
      </c>
      <c r="G46" s="83">
        <f t="shared" si="12"/>
        <v>0</v>
      </c>
      <c r="H46" s="83">
        <f t="shared" si="12"/>
        <v>0</v>
      </c>
      <c r="I46" s="319" t="s">
        <v>800</v>
      </c>
    </row>
    <row r="47" spans="1:9" s="66" customFormat="1" ht="45" customHeight="1" x14ac:dyDescent="0.2">
      <c r="A47" s="149" t="s">
        <v>123</v>
      </c>
      <c r="B47" s="154">
        <v>3371</v>
      </c>
      <c r="C47" s="337">
        <f t="shared" si="11"/>
        <v>33178</v>
      </c>
      <c r="D47" s="73">
        <v>33178</v>
      </c>
      <c r="E47" s="73">
        <v>0</v>
      </c>
      <c r="F47" s="68">
        <v>0</v>
      </c>
      <c r="G47" s="83">
        <f t="shared" ref="G47:H51" si="13">SUM(H47:J47)</f>
        <v>0</v>
      </c>
      <c r="H47" s="83">
        <f t="shared" si="13"/>
        <v>0</v>
      </c>
      <c r="I47" s="319" t="s">
        <v>901</v>
      </c>
    </row>
    <row r="48" spans="1:9" s="66" customFormat="1" ht="42" x14ac:dyDescent="0.2">
      <c r="A48" s="149" t="s">
        <v>259</v>
      </c>
      <c r="B48" s="154">
        <v>3402</v>
      </c>
      <c r="C48" s="337">
        <f t="shared" si="11"/>
        <v>175742</v>
      </c>
      <c r="D48" s="73">
        <v>90485</v>
      </c>
      <c r="E48" s="73">
        <v>85257</v>
      </c>
      <c r="F48" s="68">
        <v>0</v>
      </c>
      <c r="G48" s="83">
        <f t="shared" si="13"/>
        <v>0</v>
      </c>
      <c r="H48" s="83">
        <f t="shared" si="13"/>
        <v>0</v>
      </c>
      <c r="I48" s="530" t="s">
        <v>902</v>
      </c>
    </row>
    <row r="49" spans="1:9" s="66" customFormat="1" ht="45" customHeight="1" x14ac:dyDescent="0.2">
      <c r="A49" s="149" t="s">
        <v>301</v>
      </c>
      <c r="B49" s="154">
        <v>3425</v>
      </c>
      <c r="C49" s="337">
        <f t="shared" si="11"/>
        <v>55020</v>
      </c>
      <c r="D49" s="73">
        <v>20500</v>
      </c>
      <c r="E49" s="73">
        <v>34520</v>
      </c>
      <c r="F49" s="68">
        <v>0</v>
      </c>
      <c r="G49" s="83">
        <f t="shared" si="13"/>
        <v>0</v>
      </c>
      <c r="H49" s="83">
        <f t="shared" si="13"/>
        <v>0</v>
      </c>
      <c r="I49" s="530" t="s">
        <v>903</v>
      </c>
    </row>
    <row r="50" spans="1:9" s="66" customFormat="1" ht="45" customHeight="1" x14ac:dyDescent="0.2">
      <c r="A50" s="149" t="s">
        <v>119</v>
      </c>
      <c r="B50" s="154">
        <v>3372</v>
      </c>
      <c r="C50" s="337">
        <f t="shared" si="11"/>
        <v>25555</v>
      </c>
      <c r="D50" s="73">
        <v>24595</v>
      </c>
      <c r="E50" s="73">
        <v>960</v>
      </c>
      <c r="F50" s="68">
        <v>0</v>
      </c>
      <c r="G50" s="83">
        <f t="shared" si="13"/>
        <v>0</v>
      </c>
      <c r="H50" s="83">
        <f t="shared" si="13"/>
        <v>0</v>
      </c>
      <c r="I50" s="530" t="s">
        <v>904</v>
      </c>
    </row>
    <row r="51" spans="1:9" s="66" customFormat="1" ht="35.25" customHeight="1" thickBot="1" x14ac:dyDescent="0.25">
      <c r="A51" s="149" t="s">
        <v>490</v>
      </c>
      <c r="B51" s="154">
        <v>3488</v>
      </c>
      <c r="C51" s="337">
        <f t="shared" si="11"/>
        <v>30000</v>
      </c>
      <c r="D51" s="73">
        <v>15000</v>
      </c>
      <c r="E51" s="73">
        <v>15000</v>
      </c>
      <c r="F51" s="68">
        <v>0</v>
      </c>
      <c r="G51" s="83">
        <f t="shared" si="13"/>
        <v>0</v>
      </c>
      <c r="H51" s="83">
        <f t="shared" si="13"/>
        <v>0</v>
      </c>
      <c r="I51" s="319" t="s">
        <v>905</v>
      </c>
    </row>
    <row r="52" spans="1:9" s="66" customFormat="1" ht="15.75" customHeight="1" thickBot="1" x14ac:dyDescent="0.25">
      <c r="A52" s="74" t="s">
        <v>124</v>
      </c>
      <c r="B52" s="156"/>
      <c r="C52" s="71">
        <f t="shared" ref="C52:H52" si="14">SUM(C37:C51)</f>
        <v>380115.65</v>
      </c>
      <c r="D52" s="71">
        <f t="shared" si="14"/>
        <v>244378.65</v>
      </c>
      <c r="E52" s="71">
        <f t="shared" si="14"/>
        <v>135737</v>
      </c>
      <c r="F52" s="542">
        <f t="shared" si="14"/>
        <v>0</v>
      </c>
      <c r="G52" s="71">
        <f t="shared" si="14"/>
        <v>0</v>
      </c>
      <c r="H52" s="71">
        <f t="shared" si="14"/>
        <v>0</v>
      </c>
      <c r="I52" s="72"/>
    </row>
    <row r="53" spans="1:9" s="66" customFormat="1" ht="18" customHeight="1" x14ac:dyDescent="0.2">
      <c r="A53" s="77" t="s">
        <v>125</v>
      </c>
      <c r="B53" s="78"/>
      <c r="C53" s="78"/>
      <c r="D53" s="78"/>
      <c r="E53" s="78"/>
      <c r="F53" s="78"/>
      <c r="G53" s="78"/>
      <c r="H53" s="78"/>
      <c r="I53" s="79"/>
    </row>
    <row r="54" spans="1:9" s="66" customFormat="1" ht="34.5" customHeight="1" x14ac:dyDescent="0.2">
      <c r="A54" s="149" t="s">
        <v>491</v>
      </c>
      <c r="B54" s="154">
        <v>3474</v>
      </c>
      <c r="C54" s="337">
        <f t="shared" ref="C54:C79" si="15">SUM(D54:H54)</f>
        <v>5810.4</v>
      </c>
      <c r="D54" s="73">
        <v>3514.4</v>
      </c>
      <c r="E54" s="73">
        <v>2296</v>
      </c>
      <c r="F54" s="68">
        <v>0</v>
      </c>
      <c r="G54" s="83">
        <f t="shared" ref="G54:H79" si="16">SUM(H54:J54)</f>
        <v>0</v>
      </c>
      <c r="H54" s="83">
        <f t="shared" si="16"/>
        <v>0</v>
      </c>
      <c r="I54" s="319" t="s">
        <v>906</v>
      </c>
    </row>
    <row r="55" spans="1:9" s="66" customFormat="1" ht="34.5" customHeight="1" x14ac:dyDescent="0.2">
      <c r="A55" s="149" t="s">
        <v>492</v>
      </c>
      <c r="B55" s="154">
        <v>3500</v>
      </c>
      <c r="C55" s="337">
        <f t="shared" si="15"/>
        <v>200</v>
      </c>
      <c r="D55" s="73">
        <v>0</v>
      </c>
      <c r="E55" s="73">
        <v>200</v>
      </c>
      <c r="F55" s="68">
        <v>0</v>
      </c>
      <c r="G55" s="83">
        <f t="shared" si="16"/>
        <v>0</v>
      </c>
      <c r="H55" s="83">
        <f t="shared" si="16"/>
        <v>0</v>
      </c>
      <c r="I55" s="319" t="s">
        <v>907</v>
      </c>
    </row>
    <row r="56" spans="1:9" s="66" customFormat="1" ht="34.5" customHeight="1" x14ac:dyDescent="0.2">
      <c r="A56" s="149" t="s">
        <v>494</v>
      </c>
      <c r="B56" s="154">
        <v>3495</v>
      </c>
      <c r="C56" s="337">
        <f t="shared" si="15"/>
        <v>9920</v>
      </c>
      <c r="D56" s="73">
        <v>4105</v>
      </c>
      <c r="E56" s="73">
        <v>4015</v>
      </c>
      <c r="F56" s="68">
        <v>1800</v>
      </c>
      <c r="G56" s="83">
        <f t="shared" si="16"/>
        <v>0</v>
      </c>
      <c r="H56" s="83">
        <f t="shared" si="16"/>
        <v>0</v>
      </c>
      <c r="I56" s="319" t="s">
        <v>908</v>
      </c>
    </row>
    <row r="57" spans="1:9" s="66" customFormat="1" ht="34.5" customHeight="1" x14ac:dyDescent="0.2">
      <c r="A57" s="149" t="s">
        <v>496</v>
      </c>
      <c r="B57" s="154">
        <v>3486</v>
      </c>
      <c r="C57" s="337">
        <f t="shared" si="15"/>
        <v>20120</v>
      </c>
      <c r="D57" s="73">
        <v>1000</v>
      </c>
      <c r="E57" s="73">
        <v>19120</v>
      </c>
      <c r="F57" s="68">
        <v>0</v>
      </c>
      <c r="G57" s="83">
        <f t="shared" si="16"/>
        <v>0</v>
      </c>
      <c r="H57" s="83">
        <f t="shared" si="16"/>
        <v>0</v>
      </c>
      <c r="I57" s="319" t="s">
        <v>909</v>
      </c>
    </row>
    <row r="58" spans="1:9" s="66" customFormat="1" ht="34.5" customHeight="1" x14ac:dyDescent="0.2">
      <c r="A58" s="149" t="s">
        <v>500</v>
      </c>
      <c r="B58" s="154">
        <v>3496</v>
      </c>
      <c r="C58" s="337">
        <f t="shared" si="15"/>
        <v>7149.83</v>
      </c>
      <c r="D58" s="73">
        <v>7149.83</v>
      </c>
      <c r="E58" s="73">
        <v>0</v>
      </c>
      <c r="F58" s="68">
        <v>0</v>
      </c>
      <c r="G58" s="83">
        <f t="shared" si="16"/>
        <v>0</v>
      </c>
      <c r="H58" s="83">
        <f t="shared" si="16"/>
        <v>0</v>
      </c>
      <c r="I58" s="319" t="s">
        <v>910</v>
      </c>
    </row>
    <row r="59" spans="1:9" s="66" customFormat="1" ht="34.5" customHeight="1" x14ac:dyDescent="0.2">
      <c r="A59" s="149" t="s">
        <v>501</v>
      </c>
      <c r="B59" s="154">
        <v>3464</v>
      </c>
      <c r="C59" s="337">
        <f t="shared" si="15"/>
        <v>274351.27</v>
      </c>
      <c r="D59" s="73">
        <v>173000</v>
      </c>
      <c r="E59" s="73">
        <v>101351.27</v>
      </c>
      <c r="F59" s="68">
        <v>0</v>
      </c>
      <c r="G59" s="83">
        <f t="shared" si="16"/>
        <v>0</v>
      </c>
      <c r="H59" s="83">
        <f t="shared" si="16"/>
        <v>0</v>
      </c>
      <c r="I59" s="319" t="s">
        <v>911</v>
      </c>
    </row>
    <row r="60" spans="1:9" s="66" customFormat="1" ht="34.5" customHeight="1" x14ac:dyDescent="0.2">
      <c r="A60" s="149" t="s">
        <v>265</v>
      </c>
      <c r="B60" s="154">
        <v>3423</v>
      </c>
      <c r="C60" s="337">
        <f t="shared" si="15"/>
        <v>4374</v>
      </c>
      <c r="D60" s="73">
        <v>4374</v>
      </c>
      <c r="E60" s="73">
        <v>0</v>
      </c>
      <c r="F60" s="68">
        <v>0</v>
      </c>
      <c r="G60" s="83">
        <f t="shared" si="16"/>
        <v>0</v>
      </c>
      <c r="H60" s="83">
        <f t="shared" si="16"/>
        <v>0</v>
      </c>
      <c r="I60" s="319" t="s">
        <v>912</v>
      </c>
    </row>
    <row r="61" spans="1:9" s="66" customFormat="1" ht="34.5" customHeight="1" x14ac:dyDescent="0.2">
      <c r="A61" s="149" t="s">
        <v>266</v>
      </c>
      <c r="B61" s="154">
        <v>3285</v>
      </c>
      <c r="C61" s="337">
        <f t="shared" si="15"/>
        <v>8000</v>
      </c>
      <c r="D61" s="73">
        <v>8000</v>
      </c>
      <c r="E61" s="73">
        <v>0</v>
      </c>
      <c r="F61" s="68">
        <v>0</v>
      </c>
      <c r="G61" s="83">
        <f t="shared" si="16"/>
        <v>0</v>
      </c>
      <c r="H61" s="83">
        <f t="shared" si="16"/>
        <v>0</v>
      </c>
      <c r="I61" s="319" t="s">
        <v>913</v>
      </c>
    </row>
    <row r="62" spans="1:9" s="66" customFormat="1" ht="34.5" customHeight="1" x14ac:dyDescent="0.2">
      <c r="A62" s="149" t="s">
        <v>506</v>
      </c>
      <c r="B62" s="154">
        <v>3465</v>
      </c>
      <c r="C62" s="337">
        <f t="shared" si="15"/>
        <v>20700</v>
      </c>
      <c r="D62" s="73">
        <v>3000</v>
      </c>
      <c r="E62" s="73">
        <v>17700</v>
      </c>
      <c r="F62" s="68">
        <v>0</v>
      </c>
      <c r="G62" s="83">
        <f t="shared" si="16"/>
        <v>0</v>
      </c>
      <c r="H62" s="83">
        <f t="shared" si="16"/>
        <v>0</v>
      </c>
      <c r="I62" s="319" t="s">
        <v>909</v>
      </c>
    </row>
    <row r="63" spans="1:9" s="66" customFormat="1" ht="34.5" customHeight="1" x14ac:dyDescent="0.2">
      <c r="A63" s="149" t="s">
        <v>327</v>
      </c>
      <c r="B63" s="154">
        <v>3440</v>
      </c>
      <c r="C63" s="337">
        <f t="shared" si="15"/>
        <v>12771</v>
      </c>
      <c r="D63" s="73">
        <v>12771</v>
      </c>
      <c r="E63" s="73">
        <v>0</v>
      </c>
      <c r="F63" s="68">
        <v>0</v>
      </c>
      <c r="G63" s="83">
        <f t="shared" si="16"/>
        <v>0</v>
      </c>
      <c r="H63" s="83">
        <f t="shared" si="16"/>
        <v>0</v>
      </c>
      <c r="I63" s="319" t="s">
        <v>914</v>
      </c>
    </row>
    <row r="64" spans="1:9" s="66" customFormat="1" ht="34.5" customHeight="1" x14ac:dyDescent="0.2">
      <c r="A64" s="149" t="s">
        <v>328</v>
      </c>
      <c r="B64" s="154">
        <v>3442</v>
      </c>
      <c r="C64" s="337">
        <f t="shared" si="15"/>
        <v>10585</v>
      </c>
      <c r="D64" s="73">
        <v>10585</v>
      </c>
      <c r="E64" s="73">
        <v>0</v>
      </c>
      <c r="F64" s="68">
        <v>0</v>
      </c>
      <c r="G64" s="83">
        <f t="shared" si="16"/>
        <v>0</v>
      </c>
      <c r="H64" s="83">
        <f t="shared" si="16"/>
        <v>0</v>
      </c>
      <c r="I64" s="530" t="s">
        <v>914</v>
      </c>
    </row>
    <row r="65" spans="1:11" s="66" customFormat="1" ht="34.5" customHeight="1" x14ac:dyDescent="0.2">
      <c r="A65" s="149" t="s">
        <v>329</v>
      </c>
      <c r="B65" s="154">
        <v>3443</v>
      </c>
      <c r="C65" s="337">
        <f t="shared" si="15"/>
        <v>13688</v>
      </c>
      <c r="D65" s="73">
        <v>13688</v>
      </c>
      <c r="E65" s="73">
        <v>0</v>
      </c>
      <c r="F65" s="68">
        <v>0</v>
      </c>
      <c r="G65" s="83">
        <f t="shared" si="16"/>
        <v>0</v>
      </c>
      <c r="H65" s="83">
        <f t="shared" si="16"/>
        <v>0</v>
      </c>
      <c r="I65" s="530" t="s">
        <v>914</v>
      </c>
    </row>
    <row r="66" spans="1:11" s="66" customFormat="1" ht="34.5" customHeight="1" x14ac:dyDescent="0.2">
      <c r="A66" s="149" t="s">
        <v>330</v>
      </c>
      <c r="B66" s="154">
        <v>3444</v>
      </c>
      <c r="C66" s="337">
        <f t="shared" si="15"/>
        <v>23950</v>
      </c>
      <c r="D66" s="73">
        <v>23950</v>
      </c>
      <c r="E66" s="73">
        <v>0</v>
      </c>
      <c r="F66" s="68">
        <v>0</v>
      </c>
      <c r="G66" s="83">
        <f t="shared" si="16"/>
        <v>0</v>
      </c>
      <c r="H66" s="83">
        <f t="shared" si="16"/>
        <v>0</v>
      </c>
      <c r="I66" s="319" t="s">
        <v>914</v>
      </c>
    </row>
    <row r="67" spans="1:11" s="66" customFormat="1" ht="34.5" customHeight="1" x14ac:dyDescent="0.2">
      <c r="A67" s="149" t="s">
        <v>331</v>
      </c>
      <c r="B67" s="154">
        <v>3445</v>
      </c>
      <c r="C67" s="337">
        <f t="shared" si="15"/>
        <v>39380</v>
      </c>
      <c r="D67" s="73">
        <v>39380</v>
      </c>
      <c r="E67" s="73">
        <v>0</v>
      </c>
      <c r="F67" s="68">
        <v>0</v>
      </c>
      <c r="G67" s="83">
        <f>SUM(H67:J67)</f>
        <v>0</v>
      </c>
      <c r="H67" s="83">
        <f>SUM(I67:K67)</f>
        <v>0</v>
      </c>
      <c r="I67" s="319" t="s">
        <v>914</v>
      </c>
    </row>
    <row r="68" spans="1:11" s="66" customFormat="1" ht="34.5" customHeight="1" x14ac:dyDescent="0.2">
      <c r="A68" s="149" t="s">
        <v>332</v>
      </c>
      <c r="B68" s="154">
        <v>3446</v>
      </c>
      <c r="C68" s="337">
        <f t="shared" si="15"/>
        <v>6625</v>
      </c>
      <c r="D68" s="73">
        <v>6625</v>
      </c>
      <c r="E68" s="73">
        <v>0</v>
      </c>
      <c r="F68" s="68">
        <v>0</v>
      </c>
      <c r="G68" s="83">
        <f t="shared" si="16"/>
        <v>0</v>
      </c>
      <c r="H68" s="83">
        <f t="shared" si="16"/>
        <v>0</v>
      </c>
      <c r="I68" s="319" t="s">
        <v>914</v>
      </c>
    </row>
    <row r="69" spans="1:11" s="66" customFormat="1" ht="34.5" customHeight="1" x14ac:dyDescent="0.2">
      <c r="A69" s="149" t="s">
        <v>333</v>
      </c>
      <c r="B69" s="154">
        <v>3448</v>
      </c>
      <c r="C69" s="337">
        <f t="shared" si="15"/>
        <v>27080</v>
      </c>
      <c r="D69" s="73">
        <v>27080</v>
      </c>
      <c r="E69" s="73">
        <v>0</v>
      </c>
      <c r="F69" s="68">
        <v>0</v>
      </c>
      <c r="G69" s="83">
        <f t="shared" si="16"/>
        <v>0</v>
      </c>
      <c r="H69" s="83">
        <f t="shared" si="16"/>
        <v>0</v>
      </c>
      <c r="I69" s="319" t="s">
        <v>914</v>
      </c>
    </row>
    <row r="70" spans="1:11" s="66" customFormat="1" ht="34.5" customHeight="1" x14ac:dyDescent="0.2">
      <c r="A70" s="149" t="s">
        <v>511</v>
      </c>
      <c r="B70" s="154">
        <v>3449</v>
      </c>
      <c r="C70" s="337">
        <f t="shared" si="15"/>
        <v>49356</v>
      </c>
      <c r="D70" s="73">
        <v>49356</v>
      </c>
      <c r="E70" s="73">
        <v>0</v>
      </c>
      <c r="F70" s="68">
        <v>0</v>
      </c>
      <c r="G70" s="83">
        <f t="shared" si="16"/>
        <v>0</v>
      </c>
      <c r="H70" s="83">
        <f t="shared" si="16"/>
        <v>0</v>
      </c>
      <c r="I70" s="319" t="s">
        <v>914</v>
      </c>
    </row>
    <row r="71" spans="1:11" s="66" customFormat="1" ht="34.5" customHeight="1" x14ac:dyDescent="0.2">
      <c r="A71" s="149" t="s">
        <v>334</v>
      </c>
      <c r="B71" s="154">
        <v>3450</v>
      </c>
      <c r="C71" s="337">
        <f t="shared" si="15"/>
        <v>15675</v>
      </c>
      <c r="D71" s="73">
        <v>15675</v>
      </c>
      <c r="E71" s="73">
        <v>0</v>
      </c>
      <c r="F71" s="68">
        <v>0</v>
      </c>
      <c r="G71" s="83">
        <f t="shared" si="16"/>
        <v>0</v>
      </c>
      <c r="H71" s="83">
        <f t="shared" si="16"/>
        <v>0</v>
      </c>
      <c r="I71" s="319" t="s">
        <v>914</v>
      </c>
    </row>
    <row r="72" spans="1:11" s="66" customFormat="1" ht="34.5" customHeight="1" x14ac:dyDescent="0.2">
      <c r="A72" s="149" t="s">
        <v>335</v>
      </c>
      <c r="B72" s="154">
        <v>3473</v>
      </c>
      <c r="C72" s="337">
        <f t="shared" si="15"/>
        <v>8000</v>
      </c>
      <c r="D72" s="73">
        <v>8000</v>
      </c>
      <c r="E72" s="73">
        <v>0</v>
      </c>
      <c r="F72" s="68">
        <v>0</v>
      </c>
      <c r="G72" s="83">
        <f t="shared" si="16"/>
        <v>0</v>
      </c>
      <c r="H72" s="83">
        <f t="shared" si="16"/>
        <v>0</v>
      </c>
      <c r="I72" s="319" t="s">
        <v>914</v>
      </c>
    </row>
    <row r="73" spans="1:11" s="66" customFormat="1" ht="34.5" customHeight="1" x14ac:dyDescent="0.2">
      <c r="A73" s="149" t="s">
        <v>512</v>
      </c>
      <c r="B73" s="154">
        <v>3490</v>
      </c>
      <c r="C73" s="337">
        <f t="shared" si="15"/>
        <v>11987</v>
      </c>
      <c r="D73" s="73">
        <v>11987</v>
      </c>
      <c r="E73" s="73">
        <v>0</v>
      </c>
      <c r="F73" s="68">
        <v>0</v>
      </c>
      <c r="G73" s="83">
        <f t="shared" si="16"/>
        <v>0</v>
      </c>
      <c r="H73" s="83">
        <f t="shared" si="16"/>
        <v>0</v>
      </c>
      <c r="I73" s="319" t="s">
        <v>915</v>
      </c>
      <c r="K73" s="204"/>
    </row>
    <row r="74" spans="1:11" s="66" customFormat="1" ht="34.5" customHeight="1" x14ac:dyDescent="0.2">
      <c r="A74" s="149" t="s">
        <v>513</v>
      </c>
      <c r="B74" s="154">
        <v>3492</v>
      </c>
      <c r="C74" s="337">
        <f t="shared" si="15"/>
        <v>14291</v>
      </c>
      <c r="D74" s="73">
        <v>14291</v>
      </c>
      <c r="E74" s="73">
        <v>0</v>
      </c>
      <c r="F74" s="68">
        <v>0</v>
      </c>
      <c r="G74" s="83">
        <f t="shared" si="16"/>
        <v>0</v>
      </c>
      <c r="H74" s="83">
        <f t="shared" si="16"/>
        <v>0</v>
      </c>
      <c r="I74" s="319" t="s">
        <v>915</v>
      </c>
      <c r="K74" s="204"/>
    </row>
    <row r="75" spans="1:11" s="66" customFormat="1" ht="34.5" customHeight="1" x14ac:dyDescent="0.2">
      <c r="A75" s="149" t="s">
        <v>514</v>
      </c>
      <c r="B75" s="154">
        <v>3493</v>
      </c>
      <c r="C75" s="337">
        <f t="shared" si="15"/>
        <v>17219</v>
      </c>
      <c r="D75" s="73">
        <v>17219</v>
      </c>
      <c r="E75" s="73">
        <v>0</v>
      </c>
      <c r="F75" s="68">
        <v>0</v>
      </c>
      <c r="G75" s="83">
        <f t="shared" si="16"/>
        <v>0</v>
      </c>
      <c r="H75" s="83">
        <f t="shared" si="16"/>
        <v>0</v>
      </c>
      <c r="I75" s="319" t="s">
        <v>915</v>
      </c>
      <c r="K75" s="204"/>
    </row>
    <row r="76" spans="1:11" s="66" customFormat="1" ht="34.5" customHeight="1" x14ac:dyDescent="0.2">
      <c r="A76" s="149" t="s">
        <v>515</v>
      </c>
      <c r="B76" s="154">
        <v>3494</v>
      </c>
      <c r="C76" s="337">
        <f t="shared" si="15"/>
        <v>21774</v>
      </c>
      <c r="D76" s="73">
        <v>21774</v>
      </c>
      <c r="E76" s="73">
        <v>0</v>
      </c>
      <c r="F76" s="68">
        <v>0</v>
      </c>
      <c r="G76" s="83">
        <f t="shared" si="16"/>
        <v>0</v>
      </c>
      <c r="H76" s="83">
        <f t="shared" si="16"/>
        <v>0</v>
      </c>
      <c r="I76" s="319" t="s">
        <v>915</v>
      </c>
      <c r="K76" s="204"/>
    </row>
    <row r="77" spans="1:11" s="66" customFormat="1" ht="34.5" customHeight="1" x14ac:dyDescent="0.2">
      <c r="A77" s="149" t="s">
        <v>779</v>
      </c>
      <c r="B77" s="154" t="s">
        <v>777</v>
      </c>
      <c r="C77" s="337">
        <f t="shared" si="15"/>
        <v>5205.1100000000006</v>
      </c>
      <c r="D77" s="73">
        <v>2898.03</v>
      </c>
      <c r="E77" s="73">
        <v>2307.08</v>
      </c>
      <c r="F77" s="68">
        <v>0</v>
      </c>
      <c r="G77" s="83">
        <f t="shared" si="16"/>
        <v>0</v>
      </c>
      <c r="H77" s="83">
        <f t="shared" si="16"/>
        <v>0</v>
      </c>
      <c r="I77" s="319" t="s">
        <v>916</v>
      </c>
    </row>
    <row r="78" spans="1:11" s="66" customFormat="1" ht="34.5" customHeight="1" x14ac:dyDescent="0.2">
      <c r="A78" s="149" t="s">
        <v>780</v>
      </c>
      <c r="B78" s="154" t="s">
        <v>777</v>
      </c>
      <c r="C78" s="337">
        <f t="shared" si="15"/>
        <v>11340.227999999999</v>
      </c>
      <c r="D78" s="73">
        <v>7371.15</v>
      </c>
      <c r="E78" s="73">
        <v>3969.078</v>
      </c>
      <c r="F78" s="68"/>
      <c r="G78" s="83">
        <f t="shared" si="16"/>
        <v>0</v>
      </c>
      <c r="H78" s="83">
        <f t="shared" si="16"/>
        <v>0</v>
      </c>
      <c r="I78" s="530" t="s">
        <v>916</v>
      </c>
    </row>
    <row r="79" spans="1:11" s="66" customFormat="1" ht="35.25" customHeight="1" thickBot="1" x14ac:dyDescent="0.25">
      <c r="A79" s="149" t="s">
        <v>781</v>
      </c>
      <c r="B79" s="154" t="s">
        <v>777</v>
      </c>
      <c r="C79" s="337">
        <f t="shared" si="15"/>
        <v>39114.642999999996</v>
      </c>
      <c r="D79" s="73">
        <v>19623.91</v>
      </c>
      <c r="E79" s="73">
        <v>19490.733</v>
      </c>
      <c r="F79" s="68">
        <v>0</v>
      </c>
      <c r="G79" s="83">
        <f t="shared" si="16"/>
        <v>0</v>
      </c>
      <c r="H79" s="83">
        <f t="shared" si="16"/>
        <v>0</v>
      </c>
      <c r="I79" s="319" t="s">
        <v>916</v>
      </c>
    </row>
    <row r="80" spans="1:11" s="66" customFormat="1" ht="15.75" customHeight="1" thickBot="1" x14ac:dyDescent="0.25">
      <c r="A80" s="74" t="s">
        <v>126</v>
      </c>
      <c r="B80" s="156"/>
      <c r="C80" s="71">
        <f t="shared" ref="C80:H80" si="17">SUM(C54:C79)</f>
        <v>678666.48100000003</v>
      </c>
      <c r="D80" s="71">
        <f t="shared" si="17"/>
        <v>506417.32</v>
      </c>
      <c r="E80" s="71">
        <f t="shared" si="17"/>
        <v>170449.16100000002</v>
      </c>
      <c r="F80" s="542">
        <f t="shared" si="17"/>
        <v>1800</v>
      </c>
      <c r="G80" s="71">
        <f t="shared" si="17"/>
        <v>0</v>
      </c>
      <c r="H80" s="71">
        <f t="shared" si="17"/>
        <v>0</v>
      </c>
      <c r="I80" s="72"/>
    </row>
    <row r="81" spans="1:14" s="66" customFormat="1" ht="18" customHeight="1" x14ac:dyDescent="0.2">
      <c r="A81" s="587" t="s">
        <v>788</v>
      </c>
      <c r="B81" s="588"/>
      <c r="C81" s="588"/>
      <c r="D81" s="588"/>
      <c r="E81" s="588"/>
      <c r="F81" s="588"/>
      <c r="G81" s="588"/>
      <c r="H81" s="588"/>
      <c r="I81" s="589"/>
    </row>
    <row r="82" spans="1:14" s="159" customFormat="1" ht="35.25" customHeight="1" thickBot="1" x14ac:dyDescent="0.25">
      <c r="A82" s="149" t="s">
        <v>527</v>
      </c>
      <c r="B82" s="154">
        <v>3468</v>
      </c>
      <c r="C82" s="337">
        <f>SUM(D82:H82)</f>
        <v>234895</v>
      </c>
      <c r="D82" s="73">
        <v>50000</v>
      </c>
      <c r="E82" s="73">
        <v>184895</v>
      </c>
      <c r="F82" s="68">
        <v>0</v>
      </c>
      <c r="G82" s="83">
        <f t="shared" ref="G82:H82" si="18">SUM(H82:J82)</f>
        <v>0</v>
      </c>
      <c r="H82" s="83">
        <f t="shared" si="18"/>
        <v>0</v>
      </c>
      <c r="I82" s="155" t="s">
        <v>791</v>
      </c>
    </row>
    <row r="83" spans="1:14" s="66" customFormat="1" ht="15.75" customHeight="1" thickBot="1" x14ac:dyDescent="0.25">
      <c r="A83" s="74" t="s">
        <v>789</v>
      </c>
      <c r="B83" s="156"/>
      <c r="C83" s="71">
        <f>SUM(C82)</f>
        <v>234895</v>
      </c>
      <c r="D83" s="71">
        <f t="shared" ref="D83:H83" si="19">SUM(D82)</f>
        <v>50000</v>
      </c>
      <c r="E83" s="71">
        <f t="shared" si="19"/>
        <v>184895</v>
      </c>
      <c r="F83" s="542">
        <f t="shared" si="19"/>
        <v>0</v>
      </c>
      <c r="G83" s="71">
        <f t="shared" ref="G83" si="20">SUM(G82)</f>
        <v>0</v>
      </c>
      <c r="H83" s="71">
        <f t="shared" si="19"/>
        <v>0</v>
      </c>
      <c r="I83" s="72"/>
    </row>
    <row r="84" spans="1:14" s="66" customFormat="1" ht="18" customHeight="1" x14ac:dyDescent="0.2">
      <c r="A84" s="135" t="s">
        <v>127</v>
      </c>
      <c r="B84" s="136"/>
      <c r="C84" s="136"/>
      <c r="D84" s="136"/>
      <c r="E84" s="136"/>
      <c r="F84" s="136"/>
      <c r="G84" s="136"/>
      <c r="H84" s="136"/>
      <c r="I84" s="137"/>
    </row>
    <row r="85" spans="1:14" s="66" customFormat="1" ht="34.5" customHeight="1" x14ac:dyDescent="0.2">
      <c r="A85" s="149" t="s">
        <v>519</v>
      </c>
      <c r="B85" s="154">
        <v>3497</v>
      </c>
      <c r="C85" s="337">
        <f t="shared" ref="C85:C95" si="21">SUM(D85:H85)</f>
        <v>49362</v>
      </c>
      <c r="D85" s="73">
        <v>39562</v>
      </c>
      <c r="E85" s="73">
        <v>9800</v>
      </c>
      <c r="F85" s="68">
        <v>0</v>
      </c>
      <c r="G85" s="83">
        <f t="shared" ref="G85:H95" si="22">SUM(H85:J85)</f>
        <v>0</v>
      </c>
      <c r="H85" s="83">
        <f t="shared" si="22"/>
        <v>0</v>
      </c>
      <c r="I85" s="319" t="s">
        <v>917</v>
      </c>
    </row>
    <row r="86" spans="1:14" s="66" customFormat="1" ht="34.5" customHeight="1" x14ac:dyDescent="0.2">
      <c r="A86" s="149" t="s">
        <v>520</v>
      </c>
      <c r="B86" s="154">
        <v>3498</v>
      </c>
      <c r="C86" s="337">
        <f t="shared" si="21"/>
        <v>19387</v>
      </c>
      <c r="D86" s="73">
        <v>19387</v>
      </c>
      <c r="E86" s="73">
        <v>0</v>
      </c>
      <c r="F86" s="68">
        <v>0</v>
      </c>
      <c r="G86" s="83">
        <f t="shared" si="22"/>
        <v>0</v>
      </c>
      <c r="H86" s="83">
        <f t="shared" si="22"/>
        <v>0</v>
      </c>
      <c r="I86" s="319" t="s">
        <v>917</v>
      </c>
    </row>
    <row r="87" spans="1:14" s="66" customFormat="1" ht="34.5" customHeight="1" x14ac:dyDescent="0.2">
      <c r="A87" s="149" t="s">
        <v>521</v>
      </c>
      <c r="B87" s="154"/>
      <c r="C87" s="337">
        <f t="shared" si="21"/>
        <v>25851</v>
      </c>
      <c r="D87" s="73">
        <v>200</v>
      </c>
      <c r="E87" s="73">
        <v>25651</v>
      </c>
      <c r="F87" s="68">
        <v>0</v>
      </c>
      <c r="G87" s="83">
        <f t="shared" si="22"/>
        <v>0</v>
      </c>
      <c r="H87" s="83">
        <f t="shared" si="22"/>
        <v>0</v>
      </c>
      <c r="I87" s="319" t="s">
        <v>917</v>
      </c>
    </row>
    <row r="88" spans="1:14" s="66" customFormat="1" ht="45" customHeight="1" x14ac:dyDescent="0.2">
      <c r="A88" s="149" t="s">
        <v>235</v>
      </c>
      <c r="B88" s="154">
        <v>3292</v>
      </c>
      <c r="C88" s="337">
        <f t="shared" si="21"/>
        <v>137400</v>
      </c>
      <c r="D88" s="73">
        <v>200</v>
      </c>
      <c r="E88" s="73">
        <v>42000</v>
      </c>
      <c r="F88" s="68">
        <v>95200</v>
      </c>
      <c r="G88" s="83">
        <f>SUM(H88:J88)</f>
        <v>0</v>
      </c>
      <c r="H88" s="83">
        <f>SUM(I88:K88)</f>
        <v>0</v>
      </c>
      <c r="I88" s="530" t="s">
        <v>918</v>
      </c>
      <c r="J88" s="329"/>
      <c r="K88" s="330"/>
      <c r="L88" s="330"/>
      <c r="M88" s="330"/>
      <c r="N88" s="330"/>
    </row>
    <row r="89" spans="1:14" s="66" customFormat="1" ht="45" customHeight="1" x14ac:dyDescent="0.2">
      <c r="A89" s="149" t="s">
        <v>336</v>
      </c>
      <c r="B89" s="154">
        <v>7001</v>
      </c>
      <c r="C89" s="337">
        <f t="shared" si="21"/>
        <v>51794</v>
      </c>
      <c r="D89" s="73">
        <v>51794</v>
      </c>
      <c r="E89" s="73">
        <v>0</v>
      </c>
      <c r="F89" s="68">
        <v>0</v>
      </c>
      <c r="G89" s="83">
        <f t="shared" si="22"/>
        <v>0</v>
      </c>
      <c r="H89" s="83">
        <f t="shared" si="22"/>
        <v>0</v>
      </c>
      <c r="I89" s="155" t="s">
        <v>919</v>
      </c>
    </row>
    <row r="90" spans="1:14" s="66" customFormat="1" ht="34.5" customHeight="1" x14ac:dyDescent="0.2">
      <c r="A90" s="149" t="s">
        <v>782</v>
      </c>
      <c r="B90" s="154">
        <v>7038</v>
      </c>
      <c r="C90" s="337">
        <f t="shared" si="21"/>
        <v>5053.58</v>
      </c>
      <c r="D90" s="73">
        <v>5053.58</v>
      </c>
      <c r="E90" s="73">
        <v>0</v>
      </c>
      <c r="F90" s="68">
        <v>0</v>
      </c>
      <c r="G90" s="83">
        <f>SUM(H90:J90)</f>
        <v>0</v>
      </c>
      <c r="H90" s="83">
        <f>SUM(I90:K90)</f>
        <v>0</v>
      </c>
      <c r="I90" s="155" t="s">
        <v>920</v>
      </c>
    </row>
    <row r="91" spans="1:14" s="66" customFormat="1" ht="34.5" customHeight="1" x14ac:dyDescent="0.2">
      <c r="A91" s="149" t="s">
        <v>783</v>
      </c>
      <c r="B91" s="154">
        <v>7038</v>
      </c>
      <c r="C91" s="337">
        <f t="shared" si="21"/>
        <v>5071.6099999999997</v>
      </c>
      <c r="D91" s="73">
        <v>5071.6099999999997</v>
      </c>
      <c r="E91" s="73">
        <v>0</v>
      </c>
      <c r="F91" s="68">
        <v>0</v>
      </c>
      <c r="G91" s="83">
        <f t="shared" si="22"/>
        <v>0</v>
      </c>
      <c r="H91" s="83">
        <f t="shared" si="22"/>
        <v>0</v>
      </c>
      <c r="I91" s="155" t="s">
        <v>920</v>
      </c>
    </row>
    <row r="92" spans="1:14" s="66" customFormat="1" ht="34.5" customHeight="1" x14ac:dyDescent="0.2">
      <c r="A92" s="149" t="s">
        <v>885</v>
      </c>
      <c r="B92" s="154"/>
      <c r="C92" s="337">
        <f t="shared" si="21"/>
        <v>32000</v>
      </c>
      <c r="D92" s="73">
        <v>0</v>
      </c>
      <c r="E92" s="73">
        <v>32000</v>
      </c>
      <c r="F92" s="68">
        <v>0</v>
      </c>
      <c r="G92" s="83">
        <f t="shared" si="22"/>
        <v>0</v>
      </c>
      <c r="H92" s="83">
        <f t="shared" si="22"/>
        <v>0</v>
      </c>
      <c r="I92" s="155" t="s">
        <v>907</v>
      </c>
    </row>
    <row r="93" spans="1:14" s="66" customFormat="1" ht="34.5" customHeight="1" x14ac:dyDescent="0.2">
      <c r="A93" s="149" t="s">
        <v>784</v>
      </c>
      <c r="B93" s="154" t="s">
        <v>6</v>
      </c>
      <c r="C93" s="337">
        <f t="shared" si="21"/>
        <v>18821</v>
      </c>
      <c r="D93" s="73">
        <v>18821</v>
      </c>
      <c r="E93" s="73">
        <v>0</v>
      </c>
      <c r="F93" s="68">
        <v>0</v>
      </c>
      <c r="G93" s="83">
        <f t="shared" si="22"/>
        <v>0</v>
      </c>
      <c r="H93" s="83">
        <f t="shared" si="22"/>
        <v>0</v>
      </c>
      <c r="I93" s="530" t="s">
        <v>801</v>
      </c>
    </row>
    <row r="94" spans="1:14" s="66" customFormat="1" ht="34.5" customHeight="1" x14ac:dyDescent="0.2">
      <c r="A94" s="149" t="s">
        <v>785</v>
      </c>
      <c r="B94" s="154" t="s">
        <v>6</v>
      </c>
      <c r="C94" s="337">
        <f t="shared" si="21"/>
        <v>14319</v>
      </c>
      <c r="D94" s="73">
        <v>14319</v>
      </c>
      <c r="E94" s="73">
        <v>0</v>
      </c>
      <c r="F94" s="68">
        <v>0</v>
      </c>
      <c r="G94" s="83">
        <f t="shared" si="22"/>
        <v>0</v>
      </c>
      <c r="H94" s="83">
        <f t="shared" si="22"/>
        <v>0</v>
      </c>
      <c r="I94" s="319" t="s">
        <v>801</v>
      </c>
    </row>
    <row r="95" spans="1:14" s="66" customFormat="1" ht="24.75" customHeight="1" thickBot="1" x14ac:dyDescent="0.25">
      <c r="A95" s="149" t="s">
        <v>786</v>
      </c>
      <c r="B95" s="154" t="s">
        <v>6</v>
      </c>
      <c r="C95" s="337">
        <f t="shared" si="21"/>
        <v>7079</v>
      </c>
      <c r="D95" s="73">
        <v>7079</v>
      </c>
      <c r="E95" s="73">
        <v>0</v>
      </c>
      <c r="F95" s="68">
        <v>0</v>
      </c>
      <c r="G95" s="83">
        <f t="shared" si="22"/>
        <v>0</v>
      </c>
      <c r="H95" s="83">
        <f t="shared" si="22"/>
        <v>0</v>
      </c>
      <c r="I95" s="319" t="s">
        <v>801</v>
      </c>
    </row>
    <row r="96" spans="1:14" s="66" customFormat="1" ht="15.75" customHeight="1" thickBot="1" x14ac:dyDescent="0.25">
      <c r="A96" s="70" t="s">
        <v>128</v>
      </c>
      <c r="B96" s="160"/>
      <c r="C96" s="71">
        <f t="shared" ref="C96:H96" si="23">SUM(C85:C95)</f>
        <v>366138.19</v>
      </c>
      <c r="D96" s="71">
        <f t="shared" si="23"/>
        <v>161487.19</v>
      </c>
      <c r="E96" s="71">
        <f t="shared" si="23"/>
        <v>109451</v>
      </c>
      <c r="F96" s="542">
        <f t="shared" si="23"/>
        <v>95200</v>
      </c>
      <c r="G96" s="71">
        <f t="shared" si="23"/>
        <v>0</v>
      </c>
      <c r="H96" s="71">
        <f t="shared" si="23"/>
        <v>0</v>
      </c>
      <c r="I96" s="72"/>
    </row>
    <row r="97" spans="1:10" s="66" customFormat="1" ht="18" customHeight="1" x14ac:dyDescent="0.2">
      <c r="A97" s="590" t="s">
        <v>160</v>
      </c>
      <c r="B97" s="591"/>
      <c r="C97" s="591"/>
      <c r="D97" s="591"/>
      <c r="E97" s="591"/>
      <c r="F97" s="591"/>
      <c r="G97" s="591"/>
      <c r="H97" s="591"/>
      <c r="I97" s="592"/>
    </row>
    <row r="98" spans="1:10" s="159" customFormat="1" ht="34.5" customHeight="1" x14ac:dyDescent="0.2">
      <c r="A98" s="149" t="s">
        <v>523</v>
      </c>
      <c r="B98" s="154">
        <v>3452</v>
      </c>
      <c r="C98" s="337">
        <f t="shared" ref="C98:C105" si="24">SUM(D98:H98)</f>
        <v>409150</v>
      </c>
      <c r="D98" s="73">
        <v>54000</v>
      </c>
      <c r="E98" s="73">
        <v>58000</v>
      </c>
      <c r="F98" s="68">
        <v>55572</v>
      </c>
      <c r="G98" s="83">
        <v>45000</v>
      </c>
      <c r="H98" s="83">
        <v>196578</v>
      </c>
      <c r="I98" s="155" t="s">
        <v>337</v>
      </c>
      <c r="J98" s="66"/>
    </row>
    <row r="99" spans="1:10" s="159" customFormat="1" ht="34.5" customHeight="1" x14ac:dyDescent="0.2">
      <c r="A99" s="149" t="s">
        <v>524</v>
      </c>
      <c r="B99" s="154">
        <v>3499</v>
      </c>
      <c r="C99" s="337">
        <f t="shared" si="24"/>
        <v>10266</v>
      </c>
      <c r="D99" s="73">
        <v>1800</v>
      </c>
      <c r="E99" s="73">
        <v>2000</v>
      </c>
      <c r="F99" s="68">
        <v>1800</v>
      </c>
      <c r="G99" s="83">
        <v>1800</v>
      </c>
      <c r="H99" s="83">
        <v>2866</v>
      </c>
      <c r="I99" s="155" t="s">
        <v>792</v>
      </c>
      <c r="J99" s="66"/>
    </row>
    <row r="100" spans="1:10" s="159" customFormat="1" ht="34.5" customHeight="1" x14ac:dyDescent="0.2">
      <c r="A100" s="149" t="s">
        <v>268</v>
      </c>
      <c r="B100" s="154">
        <v>3426</v>
      </c>
      <c r="C100" s="337">
        <f t="shared" si="24"/>
        <v>4600</v>
      </c>
      <c r="D100" s="73">
        <v>3160</v>
      </c>
      <c r="E100" s="73">
        <v>720</v>
      </c>
      <c r="F100" s="68">
        <v>720</v>
      </c>
      <c r="G100" s="83">
        <f>SUM(H100:J100)</f>
        <v>0</v>
      </c>
      <c r="H100" s="83">
        <f>SUM(I100:K100)</f>
        <v>0</v>
      </c>
      <c r="I100" s="155" t="s">
        <v>338</v>
      </c>
      <c r="J100" s="66"/>
    </row>
    <row r="101" spans="1:10" s="159" customFormat="1" ht="34.5" customHeight="1" x14ac:dyDescent="0.2">
      <c r="A101" s="149" t="s">
        <v>525</v>
      </c>
      <c r="B101" s="154">
        <v>3487</v>
      </c>
      <c r="C101" s="337">
        <f t="shared" si="24"/>
        <v>17900</v>
      </c>
      <c r="D101" s="73">
        <v>7500</v>
      </c>
      <c r="E101" s="73">
        <v>5550</v>
      </c>
      <c r="F101" s="68">
        <v>950</v>
      </c>
      <c r="G101" s="83">
        <v>1950</v>
      </c>
      <c r="H101" s="83">
        <v>1950</v>
      </c>
      <c r="I101" s="155" t="s">
        <v>793</v>
      </c>
      <c r="J101" s="66"/>
    </row>
    <row r="102" spans="1:10" s="159" customFormat="1" ht="34.5" customHeight="1" x14ac:dyDescent="0.2">
      <c r="A102" s="149" t="s">
        <v>269</v>
      </c>
      <c r="B102" s="154">
        <v>3334</v>
      </c>
      <c r="C102" s="337">
        <f t="shared" si="24"/>
        <v>32980</v>
      </c>
      <c r="D102" s="73">
        <v>30160</v>
      </c>
      <c r="E102" s="73">
        <v>2820</v>
      </c>
      <c r="F102" s="68">
        <v>0</v>
      </c>
      <c r="G102" s="83">
        <f t="shared" ref="G102:H105" si="25">SUM(H102:J102)</f>
        <v>0</v>
      </c>
      <c r="H102" s="83">
        <f t="shared" si="25"/>
        <v>0</v>
      </c>
      <c r="I102" s="155" t="s">
        <v>794</v>
      </c>
      <c r="J102" s="66"/>
    </row>
    <row r="103" spans="1:10" s="159" customFormat="1" ht="34.5" customHeight="1" x14ac:dyDescent="0.2">
      <c r="A103" s="149" t="s">
        <v>130</v>
      </c>
      <c r="B103" s="154">
        <v>3294</v>
      </c>
      <c r="C103" s="337">
        <f t="shared" si="24"/>
        <v>184</v>
      </c>
      <c r="D103" s="73">
        <v>136</v>
      </c>
      <c r="E103" s="73">
        <v>24</v>
      </c>
      <c r="F103" s="68">
        <v>24</v>
      </c>
      <c r="G103" s="83">
        <f t="shared" si="25"/>
        <v>0</v>
      </c>
      <c r="H103" s="83">
        <f t="shared" si="25"/>
        <v>0</v>
      </c>
      <c r="I103" s="157" t="s">
        <v>339</v>
      </c>
      <c r="J103" s="66"/>
    </row>
    <row r="104" spans="1:10" s="159" customFormat="1" ht="34.5" customHeight="1" x14ac:dyDescent="0.2">
      <c r="A104" s="149" t="s">
        <v>131</v>
      </c>
      <c r="B104" s="154">
        <v>3377</v>
      </c>
      <c r="C104" s="337">
        <f t="shared" si="24"/>
        <v>2409</v>
      </c>
      <c r="D104" s="73">
        <v>2100</v>
      </c>
      <c r="E104" s="73">
        <v>309</v>
      </c>
      <c r="F104" s="68">
        <v>0</v>
      </c>
      <c r="G104" s="83">
        <f t="shared" si="25"/>
        <v>0</v>
      </c>
      <c r="H104" s="83">
        <f t="shared" si="25"/>
        <v>0</v>
      </c>
      <c r="I104" s="157" t="s">
        <v>795</v>
      </c>
      <c r="J104" s="66"/>
    </row>
    <row r="105" spans="1:10" s="159" customFormat="1" ht="45.75" customHeight="1" thickBot="1" x14ac:dyDescent="0.25">
      <c r="A105" s="149" t="s">
        <v>340</v>
      </c>
      <c r="B105" s="154">
        <v>3427</v>
      </c>
      <c r="C105" s="337">
        <f t="shared" si="24"/>
        <v>9406.5099999999984</v>
      </c>
      <c r="D105" s="73">
        <v>7581.9699999999993</v>
      </c>
      <c r="E105" s="73">
        <v>1824.54</v>
      </c>
      <c r="F105" s="68">
        <v>0</v>
      </c>
      <c r="G105" s="83">
        <f t="shared" si="25"/>
        <v>0</v>
      </c>
      <c r="H105" s="83">
        <f t="shared" si="25"/>
        <v>0</v>
      </c>
      <c r="I105" s="155" t="s">
        <v>796</v>
      </c>
      <c r="J105" s="66"/>
    </row>
    <row r="106" spans="1:10" s="66" customFormat="1" ht="15.75" customHeight="1" thickBot="1" x14ac:dyDescent="0.25">
      <c r="A106" s="74" t="s">
        <v>133</v>
      </c>
      <c r="B106" s="156"/>
      <c r="C106" s="71">
        <f t="shared" ref="C106:H106" si="26">SUM(C98:C105)</f>
        <v>486895.51</v>
      </c>
      <c r="D106" s="71">
        <f t="shared" si="26"/>
        <v>106437.97</v>
      </c>
      <c r="E106" s="71">
        <f t="shared" si="26"/>
        <v>71247.539999999994</v>
      </c>
      <c r="F106" s="542">
        <f t="shared" si="26"/>
        <v>59066</v>
      </c>
      <c r="G106" s="71">
        <f t="shared" si="26"/>
        <v>48750</v>
      </c>
      <c r="H106" s="71">
        <f t="shared" si="26"/>
        <v>201394</v>
      </c>
      <c r="I106" s="72"/>
    </row>
    <row r="107" spans="1:10" s="159" customFormat="1" ht="9" customHeight="1" thickBot="1" x14ac:dyDescent="0.25">
      <c r="A107" s="161"/>
      <c r="B107" s="162"/>
      <c r="C107" s="163"/>
      <c r="D107" s="164"/>
      <c r="E107" s="164"/>
      <c r="F107" s="164"/>
      <c r="G107" s="164"/>
      <c r="H107" s="164"/>
      <c r="I107" s="165"/>
    </row>
    <row r="108" spans="1:10" s="66" customFormat="1" ht="18" customHeight="1" thickBot="1" x14ac:dyDescent="0.25">
      <c r="A108" s="81" t="s">
        <v>134</v>
      </c>
      <c r="B108" s="166"/>
      <c r="C108" s="71">
        <f t="shared" ref="C108:H108" si="27">C83+C106+C96+C80+C52+C35+C32+C27+C22+C18+C8</f>
        <v>3190507.9309999999</v>
      </c>
      <c r="D108" s="71">
        <f t="shared" si="27"/>
        <v>1780951.0799999998</v>
      </c>
      <c r="E108" s="71">
        <f t="shared" si="27"/>
        <v>873416.85100000002</v>
      </c>
      <c r="F108" s="71">
        <f t="shared" si="27"/>
        <v>285996</v>
      </c>
      <c r="G108" s="71">
        <f t="shared" si="27"/>
        <v>48750</v>
      </c>
      <c r="H108" s="71">
        <f t="shared" si="27"/>
        <v>201394</v>
      </c>
      <c r="I108" s="82"/>
    </row>
    <row r="110" spans="1:10" s="167" customFormat="1" x14ac:dyDescent="0.2"/>
    <row r="111" spans="1:10" x14ac:dyDescent="0.2">
      <c r="A111" s="167"/>
      <c r="B111" s="167"/>
      <c r="C111" s="167"/>
    </row>
    <row r="113" spans="1:2" ht="14.25" x14ac:dyDescent="0.2">
      <c r="A113" s="169"/>
      <c r="B113" s="169"/>
    </row>
  </sheetData>
  <mergeCells count="13">
    <mergeCell ref="A81:I81"/>
    <mergeCell ref="A97:I97"/>
    <mergeCell ref="A2:I2"/>
    <mergeCell ref="A4:A5"/>
    <mergeCell ref="C4:C5"/>
    <mergeCell ref="D4:H4"/>
    <mergeCell ref="I4:I5"/>
    <mergeCell ref="A6:I6"/>
    <mergeCell ref="A9:I9"/>
    <mergeCell ref="A23:I23"/>
    <mergeCell ref="A28:I28"/>
    <mergeCell ref="A33:I33"/>
    <mergeCell ref="A19:I19"/>
  </mergeCells>
  <pageMargins left="0.39370078740157483" right="0.39370078740157483" top="0.59055118110236227" bottom="0.39370078740157483" header="0.31496062992125984" footer="0.11811023622047245"/>
  <pageSetup paperSize="9" scale="97" firstPageNumber="6" fitToHeight="0" orientation="landscape" useFirstPageNumber="1" r:id="rId1"/>
  <headerFooter>
    <oddHeader>&amp;L&amp;"Tahoma,Kurzíva"&amp;9Střednědobý výhled rozpočtu kraje na léta 2022 - 2025&amp;R&amp;"Tahoma,Kurzíva"&amp;9Přehled závazků kraje u akcí spolufinancovaných z evropských finančních zdrojů</oddHeader>
    <oddFooter>&amp;C&amp;"Tahoma,Obyčejné"&amp;P</oddFooter>
  </headerFooter>
  <rowBreaks count="4" manualBreakCount="4">
    <brk id="20" max="8" man="1"/>
    <brk id="35" max="8" man="1"/>
    <brk id="78" max="8" man="1"/>
    <brk id="93"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60"/>
  <sheetViews>
    <sheetView zoomScaleNormal="100" zoomScaleSheetLayoutView="100" workbookViewId="0">
      <selection activeCell="K3" sqref="K3"/>
    </sheetView>
  </sheetViews>
  <sheetFormatPr defaultRowHeight="11.25" x14ac:dyDescent="0.2"/>
  <cols>
    <col min="1" max="1" width="40.7109375" style="324" customWidth="1"/>
    <col min="2" max="2" width="6.28515625" style="323" hidden="1" customWidth="1"/>
    <col min="3" max="8" width="10.7109375" style="324" customWidth="1"/>
    <col min="9" max="9" width="40.7109375" style="325" customWidth="1"/>
    <col min="10" max="16384" width="9.140625" style="324"/>
  </cols>
  <sheetData>
    <row r="1" spans="1:11" s="463" customFormat="1" ht="15" customHeight="1" x14ac:dyDescent="0.2">
      <c r="A1" s="21" t="s">
        <v>61</v>
      </c>
      <c r="B1" s="462"/>
      <c r="I1" s="464"/>
    </row>
    <row r="2" spans="1:11" s="463" customFormat="1" ht="34.5" customHeight="1" x14ac:dyDescent="0.2">
      <c r="A2" s="611" t="s">
        <v>242</v>
      </c>
      <c r="B2" s="611"/>
      <c r="C2" s="611"/>
      <c r="D2" s="611"/>
      <c r="E2" s="611"/>
      <c r="F2" s="611"/>
      <c r="G2" s="611"/>
      <c r="H2" s="611"/>
      <c r="I2" s="611"/>
      <c r="J2" s="465"/>
      <c r="K2" s="465"/>
    </row>
    <row r="3" spans="1:11" s="463" customFormat="1" ht="13.5" customHeight="1" thickBot="1" x14ac:dyDescent="0.25">
      <c r="B3" s="462"/>
      <c r="I3" s="563" t="s">
        <v>101</v>
      </c>
    </row>
    <row r="4" spans="1:11" s="463" customFormat="1" ht="21" customHeight="1" x14ac:dyDescent="0.2">
      <c r="A4" s="595" t="s">
        <v>142</v>
      </c>
      <c r="B4" s="612" t="s">
        <v>143</v>
      </c>
      <c r="C4" s="597" t="s">
        <v>144</v>
      </c>
      <c r="D4" s="599" t="s">
        <v>187</v>
      </c>
      <c r="E4" s="614"/>
      <c r="F4" s="615"/>
      <c r="G4" s="615"/>
      <c r="H4" s="616"/>
      <c r="I4" s="603" t="s">
        <v>145</v>
      </c>
    </row>
    <row r="5" spans="1:11" s="463" customFormat="1" ht="21" customHeight="1" thickBot="1" x14ac:dyDescent="0.25">
      <c r="A5" s="596"/>
      <c r="B5" s="613"/>
      <c r="C5" s="598"/>
      <c r="D5" s="62" t="s">
        <v>255</v>
      </c>
      <c r="E5" s="62" t="s">
        <v>309</v>
      </c>
      <c r="F5" s="62" t="s">
        <v>456</v>
      </c>
      <c r="G5" s="62" t="s">
        <v>468</v>
      </c>
      <c r="H5" s="62" t="s">
        <v>528</v>
      </c>
      <c r="I5" s="617"/>
    </row>
    <row r="6" spans="1:11" s="334" customFormat="1" ht="18" customHeight="1" x14ac:dyDescent="0.2">
      <c r="A6" s="619" t="s">
        <v>104</v>
      </c>
      <c r="B6" s="620"/>
      <c r="C6" s="620"/>
      <c r="D6" s="620"/>
      <c r="E6" s="620"/>
      <c r="F6" s="620"/>
      <c r="G6" s="620"/>
      <c r="H6" s="620"/>
      <c r="I6" s="621"/>
      <c r="J6" s="333"/>
    </row>
    <row r="7" spans="1:11" s="334" customFormat="1" ht="66.75" customHeight="1" thickBot="1" x14ac:dyDescent="0.25">
      <c r="A7" s="544" t="s">
        <v>146</v>
      </c>
      <c r="B7" s="545">
        <v>5057</v>
      </c>
      <c r="C7" s="337">
        <f>SUM(D7:H7)</f>
        <v>20368</v>
      </c>
      <c r="D7" s="546">
        <v>19507</v>
      </c>
      <c r="E7" s="546">
        <v>861</v>
      </c>
      <c r="F7" s="546">
        <v>0</v>
      </c>
      <c r="G7" s="543"/>
      <c r="H7" s="547">
        <v>0</v>
      </c>
      <c r="I7" s="548" t="s">
        <v>190</v>
      </c>
      <c r="J7" s="333"/>
    </row>
    <row r="8" spans="1:11" s="334" customFormat="1" ht="15.75" customHeight="1" thickBot="1" x14ac:dyDescent="0.25">
      <c r="A8" s="345" t="s">
        <v>106</v>
      </c>
      <c r="B8" s="340"/>
      <c r="C8" s="341">
        <f t="shared" ref="C8:H8" si="0">SUM(C7:C7)</f>
        <v>20368</v>
      </c>
      <c r="D8" s="341">
        <f t="shared" si="0"/>
        <v>19507</v>
      </c>
      <c r="E8" s="341">
        <f t="shared" si="0"/>
        <v>861</v>
      </c>
      <c r="F8" s="341">
        <f t="shared" si="0"/>
        <v>0</v>
      </c>
      <c r="G8" s="341">
        <f t="shared" si="0"/>
        <v>0</v>
      </c>
      <c r="H8" s="341">
        <f t="shared" si="0"/>
        <v>0</v>
      </c>
      <c r="I8" s="342"/>
      <c r="J8" s="333"/>
    </row>
    <row r="9" spans="1:11" s="326" customFormat="1" ht="18" customHeight="1" x14ac:dyDescent="0.2">
      <c r="A9" s="622" t="s">
        <v>614</v>
      </c>
      <c r="B9" s="623"/>
      <c r="C9" s="623"/>
      <c r="D9" s="623"/>
      <c r="E9" s="623"/>
      <c r="F9" s="623"/>
      <c r="G9" s="623"/>
      <c r="H9" s="623"/>
      <c r="I9" s="624"/>
      <c r="J9" s="324"/>
    </row>
    <row r="10" spans="1:11" ht="24" customHeight="1" x14ac:dyDescent="0.2">
      <c r="A10" s="335" t="s">
        <v>806</v>
      </c>
      <c r="B10" s="348">
        <v>4081</v>
      </c>
      <c r="C10" s="337">
        <f t="shared" ref="C10:C14" si="1">SUM(D10:H10)</f>
        <v>408171</v>
      </c>
      <c r="D10" s="472">
        <v>130993</v>
      </c>
      <c r="E10" s="472">
        <v>277178</v>
      </c>
      <c r="F10" s="472">
        <v>0</v>
      </c>
      <c r="G10" s="472">
        <v>0</v>
      </c>
      <c r="H10" s="472">
        <v>0</v>
      </c>
      <c r="I10" s="338" t="s">
        <v>871</v>
      </c>
    </row>
    <row r="11" spans="1:11" ht="34.5" customHeight="1" x14ac:dyDescent="0.2">
      <c r="A11" s="335" t="s">
        <v>807</v>
      </c>
      <c r="B11" s="348" t="s">
        <v>872</v>
      </c>
      <c r="C11" s="337">
        <f t="shared" si="1"/>
        <v>75300</v>
      </c>
      <c r="D11" s="472">
        <v>0</v>
      </c>
      <c r="E11" s="472">
        <v>75300</v>
      </c>
      <c r="F11" s="472">
        <v>0</v>
      </c>
      <c r="G11" s="472">
        <v>0</v>
      </c>
      <c r="H11" s="472">
        <v>0</v>
      </c>
      <c r="I11" s="338" t="s">
        <v>871</v>
      </c>
    </row>
    <row r="12" spans="1:11" ht="24" customHeight="1" x14ac:dyDescent="0.2">
      <c r="A12" s="335" t="s">
        <v>808</v>
      </c>
      <c r="B12" s="348">
        <v>5954</v>
      </c>
      <c r="C12" s="337">
        <f t="shared" si="1"/>
        <v>248702</v>
      </c>
      <c r="D12" s="472">
        <v>29993</v>
      </c>
      <c r="E12" s="472">
        <v>64999</v>
      </c>
      <c r="F12" s="472">
        <v>3710</v>
      </c>
      <c r="G12" s="472">
        <v>150000</v>
      </c>
      <c r="H12" s="472">
        <v>0</v>
      </c>
      <c r="I12" s="338" t="s">
        <v>871</v>
      </c>
    </row>
    <row r="13" spans="1:11" ht="24" customHeight="1" x14ac:dyDescent="0.2">
      <c r="A13" s="335" t="s">
        <v>809</v>
      </c>
      <c r="B13" s="348" t="s">
        <v>6</v>
      </c>
      <c r="C13" s="337">
        <f t="shared" si="1"/>
        <v>250190</v>
      </c>
      <c r="D13" s="472">
        <v>0</v>
      </c>
      <c r="E13" s="472">
        <v>23000</v>
      </c>
      <c r="F13" s="472">
        <v>24190</v>
      </c>
      <c r="G13" s="472">
        <v>100000</v>
      </c>
      <c r="H13" s="472">
        <v>103000</v>
      </c>
      <c r="I13" s="338" t="s">
        <v>871</v>
      </c>
    </row>
    <row r="14" spans="1:11" s="326" customFormat="1" ht="35.25" customHeight="1" thickBot="1" x14ac:dyDescent="0.25">
      <c r="A14" s="501" t="s">
        <v>810</v>
      </c>
      <c r="B14" s="502" t="s">
        <v>6</v>
      </c>
      <c r="C14" s="337">
        <f t="shared" si="1"/>
        <v>10000</v>
      </c>
      <c r="D14" s="503">
        <v>0</v>
      </c>
      <c r="E14" s="503">
        <v>10000</v>
      </c>
      <c r="F14" s="503">
        <v>0</v>
      </c>
      <c r="G14" s="503">
        <v>0</v>
      </c>
      <c r="H14" s="503">
        <v>0</v>
      </c>
      <c r="I14" s="504" t="s">
        <v>883</v>
      </c>
    </row>
    <row r="15" spans="1:11" s="327" customFormat="1" ht="15.75" customHeight="1" thickBot="1" x14ac:dyDescent="0.25">
      <c r="A15" s="339" t="s">
        <v>832</v>
      </c>
      <c r="B15" s="340"/>
      <c r="C15" s="341">
        <f>SUM(C10:C14)</f>
        <v>992363</v>
      </c>
      <c r="D15" s="341">
        <f t="shared" ref="D15:H15" si="2">SUM(D10:D14)</f>
        <v>160986</v>
      </c>
      <c r="E15" s="341">
        <f t="shared" si="2"/>
        <v>450477</v>
      </c>
      <c r="F15" s="341">
        <f t="shared" si="2"/>
        <v>27900</v>
      </c>
      <c r="G15" s="341">
        <f t="shared" si="2"/>
        <v>250000</v>
      </c>
      <c r="H15" s="341">
        <f t="shared" si="2"/>
        <v>103000</v>
      </c>
      <c r="I15" s="342"/>
      <c r="J15" s="324"/>
    </row>
    <row r="16" spans="1:11" s="326" customFormat="1" ht="18" customHeight="1" x14ac:dyDescent="0.2">
      <c r="A16" s="619" t="s">
        <v>107</v>
      </c>
      <c r="B16" s="620"/>
      <c r="C16" s="620"/>
      <c r="D16" s="620"/>
      <c r="E16" s="620"/>
      <c r="F16" s="620"/>
      <c r="G16" s="620"/>
      <c r="H16" s="620"/>
      <c r="I16" s="621"/>
      <c r="J16" s="324"/>
    </row>
    <row r="17" spans="1:10" ht="24" customHeight="1" x14ac:dyDescent="0.2">
      <c r="A17" s="335" t="s">
        <v>239</v>
      </c>
      <c r="B17" s="516">
        <v>4724</v>
      </c>
      <c r="C17" s="337">
        <f t="shared" ref="C17:C22" si="3">SUM(D17:H17)</f>
        <v>35000</v>
      </c>
      <c r="D17" s="343">
        <v>0</v>
      </c>
      <c r="E17" s="343">
        <v>0</v>
      </c>
      <c r="F17" s="344">
        <v>0</v>
      </c>
      <c r="G17" s="332">
        <v>35000</v>
      </c>
      <c r="H17" s="332">
        <v>0</v>
      </c>
      <c r="I17" s="338" t="s">
        <v>871</v>
      </c>
    </row>
    <row r="18" spans="1:10" ht="24" customHeight="1" x14ac:dyDescent="0.2">
      <c r="A18" s="335" t="s">
        <v>811</v>
      </c>
      <c r="B18" s="516">
        <v>5254</v>
      </c>
      <c r="C18" s="337">
        <f t="shared" si="3"/>
        <v>3794</v>
      </c>
      <c r="D18" s="343">
        <v>1309</v>
      </c>
      <c r="E18" s="343">
        <v>1309</v>
      </c>
      <c r="F18" s="344">
        <v>588</v>
      </c>
      <c r="G18" s="332">
        <v>588</v>
      </c>
      <c r="H18" s="332">
        <v>0</v>
      </c>
      <c r="I18" s="338" t="s">
        <v>871</v>
      </c>
    </row>
    <row r="19" spans="1:10" ht="34.5" customHeight="1" x14ac:dyDescent="0.2">
      <c r="A19" s="335" t="s">
        <v>933</v>
      </c>
      <c r="B19" s="516">
        <v>5635</v>
      </c>
      <c r="C19" s="337">
        <f t="shared" si="3"/>
        <v>17174</v>
      </c>
      <c r="D19" s="343">
        <v>17174</v>
      </c>
      <c r="E19" s="343">
        <v>0</v>
      </c>
      <c r="F19" s="344">
        <v>0</v>
      </c>
      <c r="G19" s="344">
        <v>0</v>
      </c>
      <c r="H19" s="332">
        <v>0</v>
      </c>
      <c r="I19" s="347" t="s">
        <v>873</v>
      </c>
    </row>
    <row r="20" spans="1:10" ht="24" customHeight="1" x14ac:dyDescent="0.2">
      <c r="A20" s="335" t="s">
        <v>812</v>
      </c>
      <c r="B20" s="516">
        <v>5748</v>
      </c>
      <c r="C20" s="337">
        <f t="shared" si="3"/>
        <v>50400</v>
      </c>
      <c r="D20" s="343">
        <v>40400</v>
      </c>
      <c r="E20" s="343">
        <v>10000</v>
      </c>
      <c r="F20" s="344">
        <v>0</v>
      </c>
      <c r="G20" s="344">
        <v>0</v>
      </c>
      <c r="H20" s="332">
        <v>0</v>
      </c>
      <c r="I20" s="338" t="s">
        <v>871</v>
      </c>
    </row>
    <row r="21" spans="1:10" ht="24" customHeight="1" x14ac:dyDescent="0.2">
      <c r="A21" s="335" t="s">
        <v>271</v>
      </c>
      <c r="B21" s="516">
        <v>5848</v>
      </c>
      <c r="C21" s="337">
        <f t="shared" si="3"/>
        <v>96437</v>
      </c>
      <c r="D21" s="343">
        <v>1437</v>
      </c>
      <c r="E21" s="343">
        <v>30000</v>
      </c>
      <c r="F21" s="344">
        <v>65000</v>
      </c>
      <c r="G21" s="344">
        <v>0</v>
      </c>
      <c r="H21" s="332">
        <v>0</v>
      </c>
      <c r="I21" s="347" t="s">
        <v>873</v>
      </c>
    </row>
    <row r="22" spans="1:10" ht="24.75" customHeight="1" thickBot="1" x14ac:dyDescent="0.25">
      <c r="A22" s="335" t="s">
        <v>813</v>
      </c>
      <c r="B22" s="516">
        <v>5955</v>
      </c>
      <c r="C22" s="337">
        <f t="shared" si="3"/>
        <v>70000</v>
      </c>
      <c r="D22" s="343">
        <v>70000</v>
      </c>
      <c r="E22" s="343">
        <v>0</v>
      </c>
      <c r="F22" s="344">
        <v>0</v>
      </c>
      <c r="G22" s="344">
        <v>0</v>
      </c>
      <c r="H22" s="332">
        <v>0</v>
      </c>
      <c r="I22" s="338" t="s">
        <v>871</v>
      </c>
    </row>
    <row r="23" spans="1:10" s="334" customFormat="1" ht="15.75" customHeight="1" thickBot="1" x14ac:dyDescent="0.25">
      <c r="A23" s="345" t="s">
        <v>112</v>
      </c>
      <c r="B23" s="340"/>
      <c r="C23" s="341">
        <f>SUM(C17:C22)</f>
        <v>272805</v>
      </c>
      <c r="D23" s="341">
        <f t="shared" ref="D23:H23" si="4">SUM(D17:D22)</f>
        <v>130320</v>
      </c>
      <c r="E23" s="341">
        <f t="shared" si="4"/>
        <v>41309</v>
      </c>
      <c r="F23" s="341">
        <f t="shared" si="4"/>
        <v>65588</v>
      </c>
      <c r="G23" s="341">
        <f t="shared" si="4"/>
        <v>35588</v>
      </c>
      <c r="H23" s="341">
        <f t="shared" si="4"/>
        <v>0</v>
      </c>
      <c r="I23" s="346"/>
      <c r="J23" s="333"/>
    </row>
    <row r="24" spans="1:10" s="334" customFormat="1" ht="18" customHeight="1" x14ac:dyDescent="0.2">
      <c r="A24" s="619" t="s">
        <v>118</v>
      </c>
      <c r="B24" s="620"/>
      <c r="C24" s="620"/>
      <c r="D24" s="620"/>
      <c r="E24" s="620"/>
      <c r="F24" s="620"/>
      <c r="G24" s="620"/>
      <c r="H24" s="620"/>
      <c r="I24" s="621"/>
      <c r="J24" s="333"/>
    </row>
    <row r="25" spans="1:10" s="334" customFormat="1" ht="24" customHeight="1" x14ac:dyDescent="0.2">
      <c r="A25" s="335" t="s">
        <v>814</v>
      </c>
      <c r="B25" s="336">
        <v>4139</v>
      </c>
      <c r="C25" s="337">
        <f t="shared" ref="C25:C29" si="5">SUM(D25:H25)</f>
        <v>5700</v>
      </c>
      <c r="D25" s="343">
        <v>5700</v>
      </c>
      <c r="E25" s="343">
        <v>0</v>
      </c>
      <c r="F25" s="344">
        <v>0</v>
      </c>
      <c r="G25" s="332">
        <v>0</v>
      </c>
      <c r="H25" s="332">
        <v>0</v>
      </c>
      <c r="I25" s="347" t="s">
        <v>874</v>
      </c>
      <c r="J25" s="333"/>
    </row>
    <row r="26" spans="1:10" s="334" customFormat="1" ht="24" customHeight="1" x14ac:dyDescent="0.2">
      <c r="A26" s="335" t="s">
        <v>815</v>
      </c>
      <c r="B26" s="336">
        <v>4165</v>
      </c>
      <c r="C26" s="337">
        <f t="shared" si="5"/>
        <v>10000</v>
      </c>
      <c r="D26" s="343">
        <v>10000</v>
      </c>
      <c r="E26" s="343">
        <v>0</v>
      </c>
      <c r="F26" s="344">
        <v>0</v>
      </c>
      <c r="G26" s="332">
        <v>0</v>
      </c>
      <c r="H26" s="332">
        <v>0</v>
      </c>
      <c r="I26" s="338" t="s">
        <v>871</v>
      </c>
      <c r="J26" s="333"/>
    </row>
    <row r="27" spans="1:10" s="334" customFormat="1" ht="24" customHeight="1" x14ac:dyDescent="0.2">
      <c r="A27" s="335" t="s">
        <v>816</v>
      </c>
      <c r="B27" s="336">
        <v>5737</v>
      </c>
      <c r="C27" s="337">
        <f t="shared" si="5"/>
        <v>242039</v>
      </c>
      <c r="D27" s="343">
        <v>130000</v>
      </c>
      <c r="E27" s="343">
        <v>112039</v>
      </c>
      <c r="F27" s="344">
        <v>0</v>
      </c>
      <c r="G27" s="332">
        <v>0</v>
      </c>
      <c r="H27" s="332">
        <v>0</v>
      </c>
      <c r="I27" s="338" t="s">
        <v>871</v>
      </c>
    </row>
    <row r="28" spans="1:10" s="334" customFormat="1" ht="24" customHeight="1" x14ac:dyDescent="0.2">
      <c r="A28" s="335" t="s">
        <v>817</v>
      </c>
      <c r="B28" s="336">
        <v>5758</v>
      </c>
      <c r="C28" s="337">
        <f t="shared" si="5"/>
        <v>149392</v>
      </c>
      <c r="D28" s="343">
        <v>82731</v>
      </c>
      <c r="E28" s="343">
        <v>66661</v>
      </c>
      <c r="F28" s="344">
        <v>0</v>
      </c>
      <c r="G28" s="332">
        <v>0</v>
      </c>
      <c r="H28" s="332">
        <v>0</v>
      </c>
      <c r="I28" s="338" t="s">
        <v>871</v>
      </c>
    </row>
    <row r="29" spans="1:10" s="334" customFormat="1" ht="24.75" customHeight="1" thickBot="1" x14ac:dyDescent="0.25">
      <c r="A29" s="335" t="s">
        <v>818</v>
      </c>
      <c r="B29" s="336">
        <v>5958</v>
      </c>
      <c r="C29" s="337">
        <f t="shared" si="5"/>
        <v>3200</v>
      </c>
      <c r="D29" s="343">
        <v>3200</v>
      </c>
      <c r="E29" s="343">
        <v>0</v>
      </c>
      <c r="F29" s="344">
        <v>0</v>
      </c>
      <c r="G29" s="332">
        <v>0</v>
      </c>
      <c r="H29" s="332">
        <v>0</v>
      </c>
      <c r="I29" s="347" t="s">
        <v>873</v>
      </c>
      <c r="J29" s="333"/>
    </row>
    <row r="30" spans="1:10" s="334" customFormat="1" ht="15.75" customHeight="1" thickBot="1" x14ac:dyDescent="0.25">
      <c r="A30" s="345" t="s">
        <v>124</v>
      </c>
      <c r="B30" s="340"/>
      <c r="C30" s="341">
        <f>SUM(C25:C29)</f>
        <v>410331</v>
      </c>
      <c r="D30" s="341">
        <f t="shared" ref="D30:H30" si="6">SUM(D25:D29)</f>
        <v>231631</v>
      </c>
      <c r="E30" s="341">
        <f t="shared" si="6"/>
        <v>178700</v>
      </c>
      <c r="F30" s="341">
        <f t="shared" si="6"/>
        <v>0</v>
      </c>
      <c r="G30" s="341">
        <f t="shared" ref="G30" si="7">SUM(G25:G29)</f>
        <v>0</v>
      </c>
      <c r="H30" s="341">
        <f t="shared" si="6"/>
        <v>0</v>
      </c>
      <c r="I30" s="346"/>
      <c r="J30" s="333"/>
    </row>
    <row r="31" spans="1:10" s="334" customFormat="1" ht="18" customHeight="1" x14ac:dyDescent="0.2">
      <c r="A31" s="619" t="s">
        <v>125</v>
      </c>
      <c r="B31" s="620"/>
      <c r="C31" s="620"/>
      <c r="D31" s="620"/>
      <c r="E31" s="620"/>
      <c r="F31" s="620"/>
      <c r="G31" s="620"/>
      <c r="H31" s="620"/>
      <c r="I31" s="621"/>
      <c r="J31" s="333"/>
    </row>
    <row r="32" spans="1:10" s="334" customFormat="1" ht="45" customHeight="1" x14ac:dyDescent="0.2">
      <c r="A32" s="335" t="s">
        <v>819</v>
      </c>
      <c r="B32" s="348">
        <v>4002</v>
      </c>
      <c r="C32" s="337">
        <f t="shared" ref="C32:C49" si="8">SUM(D32:H32)</f>
        <v>28000</v>
      </c>
      <c r="D32" s="349">
        <v>28000</v>
      </c>
      <c r="E32" s="349">
        <v>0</v>
      </c>
      <c r="F32" s="349">
        <v>0</v>
      </c>
      <c r="G32" s="349">
        <v>0</v>
      </c>
      <c r="H32" s="349">
        <v>0</v>
      </c>
      <c r="I32" s="338" t="s">
        <v>871</v>
      </c>
      <c r="J32" s="333"/>
    </row>
    <row r="33" spans="1:10" s="334" customFormat="1" ht="24" customHeight="1" x14ac:dyDescent="0.2">
      <c r="A33" s="335" t="s">
        <v>820</v>
      </c>
      <c r="B33" s="348">
        <v>4012</v>
      </c>
      <c r="C33" s="337">
        <f t="shared" si="8"/>
        <v>12850</v>
      </c>
      <c r="D33" s="349">
        <v>12850</v>
      </c>
      <c r="E33" s="349">
        <v>0</v>
      </c>
      <c r="F33" s="349">
        <v>0</v>
      </c>
      <c r="G33" s="349">
        <v>0</v>
      </c>
      <c r="H33" s="349">
        <v>0</v>
      </c>
      <c r="I33" s="338" t="s">
        <v>871</v>
      </c>
      <c r="J33" s="333"/>
    </row>
    <row r="34" spans="1:10" s="334" customFormat="1" ht="31.5" x14ac:dyDescent="0.2">
      <c r="A34" s="335" t="s">
        <v>821</v>
      </c>
      <c r="B34" s="348">
        <v>4031</v>
      </c>
      <c r="C34" s="337">
        <f t="shared" si="8"/>
        <v>1150</v>
      </c>
      <c r="D34" s="349">
        <v>1150</v>
      </c>
      <c r="E34" s="349">
        <v>0</v>
      </c>
      <c r="F34" s="349">
        <v>0</v>
      </c>
      <c r="G34" s="349">
        <v>0</v>
      </c>
      <c r="H34" s="349">
        <v>0</v>
      </c>
      <c r="I34" s="347" t="s">
        <v>873</v>
      </c>
      <c r="J34" s="333"/>
    </row>
    <row r="35" spans="1:10" s="334" customFormat="1" ht="34.5" customHeight="1" x14ac:dyDescent="0.2">
      <c r="A35" s="335" t="s">
        <v>822</v>
      </c>
      <c r="B35" s="348">
        <v>4032</v>
      </c>
      <c r="C35" s="337">
        <f t="shared" si="8"/>
        <v>2000</v>
      </c>
      <c r="D35" s="349">
        <v>2000</v>
      </c>
      <c r="E35" s="349">
        <v>0</v>
      </c>
      <c r="F35" s="349">
        <v>0</v>
      </c>
      <c r="G35" s="349">
        <v>0</v>
      </c>
      <c r="H35" s="349">
        <v>0</v>
      </c>
      <c r="I35" s="347" t="s">
        <v>873</v>
      </c>
      <c r="J35" s="333"/>
    </row>
    <row r="36" spans="1:10" s="334" customFormat="1" ht="24" customHeight="1" x14ac:dyDescent="0.2">
      <c r="A36" s="335" t="s">
        <v>823</v>
      </c>
      <c r="B36" s="348">
        <v>4034</v>
      </c>
      <c r="C36" s="337">
        <f t="shared" si="8"/>
        <v>2500</v>
      </c>
      <c r="D36" s="349">
        <v>2500</v>
      </c>
      <c r="E36" s="349">
        <v>0</v>
      </c>
      <c r="F36" s="349">
        <v>0</v>
      </c>
      <c r="G36" s="349">
        <v>0</v>
      </c>
      <c r="H36" s="349">
        <v>0</v>
      </c>
      <c r="I36" s="347" t="s">
        <v>873</v>
      </c>
      <c r="J36" s="333"/>
    </row>
    <row r="37" spans="1:10" s="334" customFormat="1" ht="24" customHeight="1" x14ac:dyDescent="0.2">
      <c r="A37" s="335" t="s">
        <v>824</v>
      </c>
      <c r="B37" s="348">
        <v>4004</v>
      </c>
      <c r="C37" s="337">
        <f t="shared" si="8"/>
        <v>20000</v>
      </c>
      <c r="D37" s="349">
        <v>20000</v>
      </c>
      <c r="E37" s="349">
        <v>0</v>
      </c>
      <c r="F37" s="349">
        <v>0</v>
      </c>
      <c r="G37" s="349">
        <v>0</v>
      </c>
      <c r="H37" s="349">
        <v>0</v>
      </c>
      <c r="I37" s="338" t="s">
        <v>871</v>
      </c>
      <c r="J37" s="333"/>
    </row>
    <row r="38" spans="1:10" s="334" customFormat="1" ht="24" customHeight="1" x14ac:dyDescent="0.2">
      <c r="A38" s="335" t="s">
        <v>825</v>
      </c>
      <c r="B38" s="348">
        <v>4074</v>
      </c>
      <c r="C38" s="337">
        <f t="shared" si="8"/>
        <v>14400</v>
      </c>
      <c r="D38" s="351">
        <v>14400</v>
      </c>
      <c r="E38" s="351">
        <v>0</v>
      </c>
      <c r="F38" s="351">
        <v>0</v>
      </c>
      <c r="G38" s="351">
        <v>0</v>
      </c>
      <c r="H38" s="351">
        <v>0</v>
      </c>
      <c r="I38" s="347" t="s">
        <v>873</v>
      </c>
      <c r="J38" s="333"/>
    </row>
    <row r="39" spans="1:10" s="334" customFormat="1" ht="34.5" customHeight="1" x14ac:dyDescent="0.2">
      <c r="A39" s="335" t="s">
        <v>826</v>
      </c>
      <c r="B39" s="348">
        <v>4105</v>
      </c>
      <c r="C39" s="337">
        <f t="shared" si="8"/>
        <v>11420</v>
      </c>
      <c r="D39" s="349">
        <v>11420</v>
      </c>
      <c r="E39" s="349">
        <v>0</v>
      </c>
      <c r="F39" s="349">
        <v>0</v>
      </c>
      <c r="G39" s="349">
        <v>0</v>
      </c>
      <c r="H39" s="349">
        <v>0</v>
      </c>
      <c r="I39" s="338" t="s">
        <v>871</v>
      </c>
      <c r="J39" s="333"/>
    </row>
    <row r="40" spans="1:10" s="334" customFormat="1" ht="34.5" customHeight="1" x14ac:dyDescent="0.2">
      <c r="A40" s="335" t="s">
        <v>827</v>
      </c>
      <c r="B40" s="348">
        <v>5456</v>
      </c>
      <c r="C40" s="337">
        <f t="shared" si="8"/>
        <v>53610</v>
      </c>
      <c r="D40" s="351">
        <v>0</v>
      </c>
      <c r="E40" s="351">
        <v>26000</v>
      </c>
      <c r="F40" s="351">
        <v>27610</v>
      </c>
      <c r="G40" s="351">
        <v>0</v>
      </c>
      <c r="H40" s="351">
        <v>0</v>
      </c>
      <c r="I40" s="338" t="s">
        <v>871</v>
      </c>
      <c r="J40" s="333"/>
    </row>
    <row r="41" spans="1:10" s="334" customFormat="1" ht="24" customHeight="1" x14ac:dyDescent="0.2">
      <c r="A41" s="335" t="s">
        <v>828</v>
      </c>
      <c r="B41" s="348">
        <v>5681</v>
      </c>
      <c r="C41" s="337">
        <f t="shared" si="8"/>
        <v>269023</v>
      </c>
      <c r="D41" s="349">
        <v>0</v>
      </c>
      <c r="E41" s="349">
        <v>100000</v>
      </c>
      <c r="F41" s="349">
        <v>100000</v>
      </c>
      <c r="G41" s="349">
        <v>69023</v>
      </c>
      <c r="H41" s="349">
        <v>0</v>
      </c>
      <c r="I41" s="338" t="s">
        <v>871</v>
      </c>
      <c r="J41" s="333"/>
    </row>
    <row r="42" spans="1:10" s="334" customFormat="1" ht="34.5" customHeight="1" x14ac:dyDescent="0.2">
      <c r="A42" s="335" t="s">
        <v>272</v>
      </c>
      <c r="B42" s="348">
        <v>5730</v>
      </c>
      <c r="C42" s="337">
        <f t="shared" si="8"/>
        <v>155428</v>
      </c>
      <c r="D42" s="349">
        <v>113428</v>
      </c>
      <c r="E42" s="349">
        <v>42000</v>
      </c>
      <c r="F42" s="349">
        <v>0</v>
      </c>
      <c r="G42" s="349">
        <v>0</v>
      </c>
      <c r="H42" s="349">
        <v>0</v>
      </c>
      <c r="I42" s="338" t="s">
        <v>871</v>
      </c>
      <c r="J42" s="333"/>
    </row>
    <row r="43" spans="1:10" s="334" customFormat="1" ht="34.5" customHeight="1" x14ac:dyDescent="0.2">
      <c r="A43" s="335" t="s">
        <v>273</v>
      </c>
      <c r="B43" s="348">
        <v>5750</v>
      </c>
      <c r="C43" s="337">
        <f t="shared" si="8"/>
        <v>19500</v>
      </c>
      <c r="D43" s="349">
        <v>19500</v>
      </c>
      <c r="E43" s="349">
        <v>0</v>
      </c>
      <c r="F43" s="349">
        <v>0</v>
      </c>
      <c r="G43" s="349">
        <v>0</v>
      </c>
      <c r="H43" s="349">
        <v>0</v>
      </c>
      <c r="I43" s="338" t="s">
        <v>871</v>
      </c>
      <c r="J43" s="333"/>
    </row>
    <row r="44" spans="1:10" s="334" customFormat="1" ht="24" customHeight="1" x14ac:dyDescent="0.2">
      <c r="A44" s="335" t="s">
        <v>890</v>
      </c>
      <c r="B44" s="348">
        <v>5834</v>
      </c>
      <c r="C44" s="337">
        <f t="shared" si="8"/>
        <v>60500</v>
      </c>
      <c r="D44" s="349">
        <v>0</v>
      </c>
      <c r="E44" s="349">
        <v>60500</v>
      </c>
      <c r="F44" s="349">
        <v>0</v>
      </c>
      <c r="G44" s="349">
        <v>0</v>
      </c>
      <c r="H44" s="349">
        <v>0</v>
      </c>
      <c r="I44" s="338" t="s">
        <v>871</v>
      </c>
      <c r="J44" s="333"/>
    </row>
    <row r="45" spans="1:10" s="334" customFormat="1" ht="34.5" customHeight="1" x14ac:dyDescent="0.2">
      <c r="A45" s="335" t="s">
        <v>274</v>
      </c>
      <c r="B45" s="348">
        <v>5867</v>
      </c>
      <c r="C45" s="337">
        <f t="shared" si="8"/>
        <v>50639</v>
      </c>
      <c r="D45" s="349">
        <v>50639</v>
      </c>
      <c r="E45" s="349">
        <v>0</v>
      </c>
      <c r="F45" s="349">
        <v>0</v>
      </c>
      <c r="G45" s="349">
        <v>0</v>
      </c>
      <c r="H45" s="349">
        <v>0</v>
      </c>
      <c r="I45" s="338" t="s">
        <v>871</v>
      </c>
      <c r="J45" s="333"/>
    </row>
    <row r="46" spans="1:10" s="334" customFormat="1" ht="24" customHeight="1" x14ac:dyDescent="0.2">
      <c r="A46" s="335" t="s">
        <v>829</v>
      </c>
      <c r="B46" s="348">
        <v>5879</v>
      </c>
      <c r="C46" s="337">
        <f t="shared" si="8"/>
        <v>30536.3</v>
      </c>
      <c r="D46" s="349">
        <v>5536.3</v>
      </c>
      <c r="E46" s="349">
        <v>25000</v>
      </c>
      <c r="F46" s="349">
        <v>0</v>
      </c>
      <c r="G46" s="349">
        <v>0</v>
      </c>
      <c r="H46" s="349">
        <v>0</v>
      </c>
      <c r="I46" s="338" t="s">
        <v>871</v>
      </c>
      <c r="J46" s="333"/>
    </row>
    <row r="47" spans="1:10" s="334" customFormat="1" ht="24" customHeight="1" x14ac:dyDescent="0.2">
      <c r="A47" s="335" t="s">
        <v>310</v>
      </c>
      <c r="B47" s="348">
        <v>5884</v>
      </c>
      <c r="C47" s="337">
        <f t="shared" si="8"/>
        <v>500</v>
      </c>
      <c r="D47" s="349">
        <v>500</v>
      </c>
      <c r="E47" s="349">
        <v>0</v>
      </c>
      <c r="F47" s="349">
        <v>0</v>
      </c>
      <c r="G47" s="349">
        <v>0</v>
      </c>
      <c r="H47" s="349">
        <v>0</v>
      </c>
      <c r="I47" s="347" t="s">
        <v>873</v>
      </c>
      <c r="J47" s="333"/>
    </row>
    <row r="48" spans="1:10" s="334" customFormat="1" ht="34.5" customHeight="1" x14ac:dyDescent="0.2">
      <c r="A48" s="335" t="s">
        <v>830</v>
      </c>
      <c r="B48" s="348">
        <v>5947</v>
      </c>
      <c r="C48" s="337">
        <f t="shared" si="8"/>
        <v>11000</v>
      </c>
      <c r="D48" s="349">
        <v>11000</v>
      </c>
      <c r="E48" s="349">
        <v>0</v>
      </c>
      <c r="F48" s="349">
        <v>0</v>
      </c>
      <c r="G48" s="349">
        <v>0</v>
      </c>
      <c r="H48" s="349">
        <v>0</v>
      </c>
      <c r="I48" s="347" t="s">
        <v>873</v>
      </c>
      <c r="J48" s="333"/>
    </row>
    <row r="49" spans="1:10" s="334" customFormat="1" ht="35.25" customHeight="1" thickBot="1" x14ac:dyDescent="0.25">
      <c r="A49" s="335" t="s">
        <v>831</v>
      </c>
      <c r="B49" s="348">
        <v>5967</v>
      </c>
      <c r="C49" s="337">
        <f t="shared" si="8"/>
        <v>4600</v>
      </c>
      <c r="D49" s="349">
        <v>0</v>
      </c>
      <c r="E49" s="349">
        <v>4600</v>
      </c>
      <c r="F49" s="349">
        <v>0</v>
      </c>
      <c r="G49" s="349">
        <v>0</v>
      </c>
      <c r="H49" s="349">
        <v>0</v>
      </c>
      <c r="I49" s="338" t="s">
        <v>871</v>
      </c>
      <c r="J49" s="333"/>
    </row>
    <row r="50" spans="1:10" s="334" customFormat="1" ht="15.75" customHeight="1" thickBot="1" x14ac:dyDescent="0.25">
      <c r="A50" s="345" t="s">
        <v>126</v>
      </c>
      <c r="B50" s="340"/>
      <c r="C50" s="350">
        <f>SUM(C32:C49)</f>
        <v>747656.3</v>
      </c>
      <c r="D50" s="350">
        <f t="shared" ref="D50:H50" si="9">SUM(D32:D49)</f>
        <v>292923.3</v>
      </c>
      <c r="E50" s="350">
        <f t="shared" si="9"/>
        <v>258100</v>
      </c>
      <c r="F50" s="350">
        <f t="shared" si="9"/>
        <v>127610</v>
      </c>
      <c r="G50" s="350">
        <f t="shared" ref="G50" si="10">SUM(G32:G49)</f>
        <v>69023</v>
      </c>
      <c r="H50" s="350">
        <f t="shared" si="9"/>
        <v>0</v>
      </c>
      <c r="I50" s="346"/>
      <c r="J50" s="333"/>
    </row>
    <row r="51" spans="1:10" s="334" customFormat="1" ht="18" customHeight="1" x14ac:dyDescent="0.2">
      <c r="A51" s="619" t="s">
        <v>127</v>
      </c>
      <c r="B51" s="620"/>
      <c r="C51" s="620"/>
      <c r="D51" s="620"/>
      <c r="E51" s="620"/>
      <c r="F51" s="620"/>
      <c r="G51" s="620"/>
      <c r="H51" s="620"/>
      <c r="I51" s="621"/>
      <c r="J51" s="333"/>
    </row>
    <row r="52" spans="1:10" s="334" customFormat="1" ht="34.5" customHeight="1" x14ac:dyDescent="0.2">
      <c r="A52" s="335" t="s">
        <v>150</v>
      </c>
      <c r="B52" s="336">
        <v>5100</v>
      </c>
      <c r="C52" s="337">
        <f t="shared" ref="C52:C55" si="11">SUM(D52:H52)</f>
        <v>194220</v>
      </c>
      <c r="D52" s="351">
        <v>17199</v>
      </c>
      <c r="E52" s="351">
        <v>17330</v>
      </c>
      <c r="F52" s="351">
        <v>17462</v>
      </c>
      <c r="G52" s="351">
        <v>17595</v>
      </c>
      <c r="H52" s="351">
        <v>124634</v>
      </c>
      <c r="I52" s="347" t="s">
        <v>191</v>
      </c>
      <c r="J52" s="333"/>
    </row>
    <row r="53" spans="1:10" s="334" customFormat="1" ht="24" customHeight="1" x14ac:dyDescent="0.2">
      <c r="A53" s="335" t="s">
        <v>275</v>
      </c>
      <c r="B53" s="336">
        <v>5689</v>
      </c>
      <c r="C53" s="337">
        <f t="shared" si="11"/>
        <v>30000</v>
      </c>
      <c r="D53" s="351">
        <v>30000</v>
      </c>
      <c r="E53" s="351">
        <v>0</v>
      </c>
      <c r="F53" s="351">
        <v>0</v>
      </c>
      <c r="G53" s="351">
        <v>0</v>
      </c>
      <c r="H53" s="351">
        <v>0</v>
      </c>
      <c r="I53" s="347" t="s">
        <v>873</v>
      </c>
      <c r="J53" s="333"/>
    </row>
    <row r="54" spans="1:10" s="334" customFormat="1" ht="24" customHeight="1" x14ac:dyDescent="0.2">
      <c r="A54" s="335" t="s">
        <v>152</v>
      </c>
      <c r="B54" s="336">
        <v>5690</v>
      </c>
      <c r="C54" s="337">
        <f t="shared" si="11"/>
        <v>169416</v>
      </c>
      <c r="D54" s="351">
        <v>119416</v>
      </c>
      <c r="E54" s="351">
        <v>50000</v>
      </c>
      <c r="F54" s="351">
        <v>0</v>
      </c>
      <c r="G54" s="351">
        <v>0</v>
      </c>
      <c r="H54" s="351">
        <v>0</v>
      </c>
      <c r="I54" s="338" t="s">
        <v>871</v>
      </c>
      <c r="J54" s="333"/>
    </row>
    <row r="55" spans="1:10" s="334" customFormat="1" ht="24.75" customHeight="1" thickBot="1" x14ac:dyDescent="0.25">
      <c r="A55" s="335" t="s">
        <v>151</v>
      </c>
      <c r="B55" s="336">
        <v>5761</v>
      </c>
      <c r="C55" s="337">
        <f t="shared" si="11"/>
        <v>22000</v>
      </c>
      <c r="D55" s="351">
        <v>22000</v>
      </c>
      <c r="E55" s="351">
        <v>0</v>
      </c>
      <c r="F55" s="351">
        <v>0</v>
      </c>
      <c r="G55" s="351">
        <v>0</v>
      </c>
      <c r="H55" s="351">
        <v>0</v>
      </c>
      <c r="I55" s="338" t="s">
        <v>871</v>
      </c>
      <c r="J55" s="333"/>
    </row>
    <row r="56" spans="1:10" s="334" customFormat="1" ht="15.75" customHeight="1" thickBot="1" x14ac:dyDescent="0.25">
      <c r="A56" s="345" t="s">
        <v>128</v>
      </c>
      <c r="B56" s="340"/>
      <c r="C56" s="341">
        <f>SUM(C52:C55)</f>
        <v>415636</v>
      </c>
      <c r="D56" s="341">
        <f t="shared" ref="D56:H56" si="12">SUM(D52:D55)</f>
        <v>188615</v>
      </c>
      <c r="E56" s="341">
        <f t="shared" si="12"/>
        <v>67330</v>
      </c>
      <c r="F56" s="341">
        <f t="shared" si="12"/>
        <v>17462</v>
      </c>
      <c r="G56" s="341">
        <f t="shared" ref="G56" si="13">SUM(G52:G55)</f>
        <v>17595</v>
      </c>
      <c r="H56" s="341">
        <f t="shared" si="12"/>
        <v>124634</v>
      </c>
      <c r="I56" s="342"/>
    </row>
    <row r="57" spans="1:10" s="334" customFormat="1" ht="9" customHeight="1" thickBot="1" x14ac:dyDescent="0.25">
      <c r="A57" s="466"/>
      <c r="B57" s="467"/>
      <c r="C57" s="468"/>
      <c r="D57" s="468"/>
      <c r="E57" s="468"/>
      <c r="F57" s="468"/>
      <c r="G57" s="468"/>
      <c r="H57" s="468"/>
      <c r="I57" s="469"/>
    </row>
    <row r="58" spans="1:10" s="334" customFormat="1" ht="16.5" customHeight="1" thickBot="1" x14ac:dyDescent="0.25">
      <c r="A58" s="345" t="s">
        <v>134</v>
      </c>
      <c r="B58" s="340"/>
      <c r="C58" s="341">
        <f>C8+C15+C23+C30+C50+C56</f>
        <v>2859159.3</v>
      </c>
      <c r="D58" s="341">
        <f t="shared" ref="D58:H58" si="14">D8+D15+D23+D30+D50+D56</f>
        <v>1023982.3</v>
      </c>
      <c r="E58" s="341">
        <f t="shared" si="14"/>
        <v>996777</v>
      </c>
      <c r="F58" s="341">
        <f t="shared" si="14"/>
        <v>238560</v>
      </c>
      <c r="G58" s="341">
        <f t="shared" ref="G58" si="15">G8+G15+G23+G30+G50+G56</f>
        <v>372206</v>
      </c>
      <c r="H58" s="341">
        <f t="shared" si="14"/>
        <v>227634</v>
      </c>
      <c r="I58" s="346"/>
    </row>
    <row r="59" spans="1:10" x14ac:dyDescent="0.15">
      <c r="A59" s="618"/>
      <c r="B59" s="618"/>
      <c r="C59" s="618"/>
      <c r="D59" s="618"/>
      <c r="E59" s="618"/>
      <c r="F59" s="618"/>
      <c r="G59" s="618"/>
      <c r="H59" s="618"/>
      <c r="I59" s="618"/>
    </row>
    <row r="60" spans="1:10" x14ac:dyDescent="0.15">
      <c r="A60" s="535" t="s">
        <v>934</v>
      </c>
    </row>
  </sheetData>
  <mergeCells count="13">
    <mergeCell ref="A59:I59"/>
    <mergeCell ref="A6:I6"/>
    <mergeCell ref="A9:I9"/>
    <mergeCell ref="A16:I16"/>
    <mergeCell ref="A24:I24"/>
    <mergeCell ref="A31:I31"/>
    <mergeCell ref="A51:I51"/>
    <mergeCell ref="A2:I2"/>
    <mergeCell ref="A4:A5"/>
    <mergeCell ref="B4:B5"/>
    <mergeCell ref="C4:C5"/>
    <mergeCell ref="D4:H4"/>
    <mergeCell ref="I4:I5"/>
  </mergeCells>
  <pageMargins left="0.39370078740157483" right="0.39370078740157483" top="0.59055118110236227" bottom="0.39370078740157483" header="0.31496062992125984" footer="0.11811023622047245"/>
  <pageSetup paperSize="9" scale="97" firstPageNumber="13" fitToHeight="0" orientation="landscape" useFirstPageNumber="1" r:id="rId1"/>
  <headerFooter>
    <oddHeader>&amp;L&amp;"Tahoma,Kurzíva"&amp;9Střednědobý výhled rozpočtu kraje na léta 2022 - 2025&amp;R&amp;"Tahoma,Kurzíva"&amp;9Přehled závazků kraje u akcí reprodukce majetku kraje</oddHeader>
    <oddFooter>&amp;C&amp;"Tahoma,Obyčejné"&amp;P</oddFooter>
  </headerFooter>
  <rowBreaks count="1" manualBreakCount="1">
    <brk id="21"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B577B-EE30-4987-B23E-0D57856CEDE8}">
  <sheetPr>
    <pageSetUpPr fitToPage="1"/>
  </sheetPr>
  <dimension ref="A1:K150"/>
  <sheetViews>
    <sheetView zoomScaleNormal="100" zoomScaleSheetLayoutView="100" workbookViewId="0">
      <selection activeCell="F7" sqref="F7"/>
    </sheetView>
  </sheetViews>
  <sheetFormatPr defaultRowHeight="12.75" x14ac:dyDescent="0.2"/>
  <cols>
    <col min="1" max="1" width="30.7109375" customWidth="1"/>
    <col min="2" max="2" width="7.28515625" hidden="1" customWidth="1"/>
    <col min="3" max="3" width="10.7109375" customWidth="1"/>
    <col min="4" max="7" width="10.42578125" customWidth="1"/>
    <col min="8" max="8" width="10.7109375" customWidth="1"/>
    <col min="9" max="9" width="14.7109375" customWidth="1"/>
    <col min="10" max="10" width="12.5703125" customWidth="1"/>
    <col min="11" max="11" width="40.7109375" customWidth="1"/>
  </cols>
  <sheetData>
    <row r="1" spans="1:11" s="138" customFormat="1" ht="15" customHeight="1" x14ac:dyDescent="0.2">
      <c r="A1" s="138" t="s">
        <v>62</v>
      </c>
    </row>
    <row r="2" spans="1:11" s="138" customFormat="1" ht="34.5" customHeight="1" x14ac:dyDescent="0.2">
      <c r="A2" s="566" t="s">
        <v>186</v>
      </c>
      <c r="B2" s="566"/>
      <c r="C2" s="566"/>
      <c r="D2" s="566"/>
      <c r="E2" s="566"/>
      <c r="F2" s="566"/>
      <c r="G2" s="566"/>
      <c r="H2" s="566"/>
      <c r="I2" s="566"/>
      <c r="J2" s="566"/>
      <c r="K2" s="566"/>
    </row>
    <row r="3" spans="1:11" s="138" customFormat="1" ht="13.5" thickBot="1" x14ac:dyDescent="0.25">
      <c r="K3" s="298" t="s">
        <v>101</v>
      </c>
    </row>
    <row r="4" spans="1:11" ht="18" customHeight="1" x14ac:dyDescent="0.2">
      <c r="A4" s="595" t="s">
        <v>142</v>
      </c>
      <c r="B4" s="629" t="s">
        <v>143</v>
      </c>
      <c r="C4" s="645" t="s">
        <v>144</v>
      </c>
      <c r="D4" s="629" t="s">
        <v>187</v>
      </c>
      <c r="E4" s="629"/>
      <c r="F4" s="629"/>
      <c r="G4" s="629"/>
      <c r="H4" s="629"/>
      <c r="I4" s="629" t="s">
        <v>349</v>
      </c>
      <c r="J4" s="629" t="s">
        <v>350</v>
      </c>
      <c r="K4" s="633" t="s">
        <v>766</v>
      </c>
    </row>
    <row r="5" spans="1:11" ht="21.75" customHeight="1" thickBot="1" x14ac:dyDescent="0.25">
      <c r="A5" s="596"/>
      <c r="B5" s="644"/>
      <c r="C5" s="646"/>
      <c r="D5" s="62" t="s">
        <v>255</v>
      </c>
      <c r="E5" s="62" t="s">
        <v>309</v>
      </c>
      <c r="F5" s="62" t="s">
        <v>456</v>
      </c>
      <c r="G5" s="62" t="s">
        <v>468</v>
      </c>
      <c r="H5" s="62" t="s">
        <v>528</v>
      </c>
      <c r="I5" s="630"/>
      <c r="J5" s="630"/>
      <c r="K5" s="634"/>
    </row>
    <row r="6" spans="1:11" ht="18" customHeight="1" x14ac:dyDescent="0.2">
      <c r="A6" s="641" t="s">
        <v>154</v>
      </c>
      <c r="B6" s="642"/>
      <c r="C6" s="642"/>
      <c r="D6" s="642"/>
      <c r="E6" s="642"/>
      <c r="F6" s="642"/>
      <c r="G6" s="642"/>
      <c r="H6" s="642"/>
      <c r="I6" s="642"/>
      <c r="J6" s="642"/>
      <c r="K6" s="643"/>
    </row>
    <row r="7" spans="1:11" ht="78" customHeight="1" x14ac:dyDescent="0.2">
      <c r="A7" s="214" t="s">
        <v>276</v>
      </c>
      <c r="B7" s="199" t="s">
        <v>351</v>
      </c>
      <c r="C7" s="337">
        <f t="shared" ref="C7:C11" si="0">SUM(D7:H7)</f>
        <v>3600</v>
      </c>
      <c r="D7" s="200">
        <v>900</v>
      </c>
      <c r="E7" s="200">
        <v>900</v>
      </c>
      <c r="F7" s="200">
        <v>900</v>
      </c>
      <c r="G7" s="69">
        <v>900</v>
      </c>
      <c r="H7" s="73">
        <v>0</v>
      </c>
      <c r="I7" s="201" t="s">
        <v>584</v>
      </c>
      <c r="J7" s="202" t="s">
        <v>6</v>
      </c>
      <c r="K7" s="507" t="s">
        <v>887</v>
      </c>
    </row>
    <row r="8" spans="1:11" ht="45" customHeight="1" x14ac:dyDescent="0.2">
      <c r="A8" s="198" t="s">
        <v>277</v>
      </c>
      <c r="B8" s="199" t="s">
        <v>351</v>
      </c>
      <c r="C8" s="337">
        <f t="shared" si="0"/>
        <v>11550</v>
      </c>
      <c r="D8" s="175">
        <v>3300</v>
      </c>
      <c r="E8" s="200">
        <v>3300</v>
      </c>
      <c r="F8" s="200">
        <v>3300</v>
      </c>
      <c r="G8" s="73">
        <v>1650</v>
      </c>
      <c r="H8" s="73">
        <v>0</v>
      </c>
      <c r="I8" s="201" t="s">
        <v>6</v>
      </c>
      <c r="J8" s="202" t="s">
        <v>6</v>
      </c>
      <c r="K8" s="203" t="s">
        <v>585</v>
      </c>
    </row>
    <row r="9" spans="1:11" ht="67.5" customHeight="1" x14ac:dyDescent="0.2">
      <c r="A9" s="198" t="s">
        <v>278</v>
      </c>
      <c r="B9" s="199" t="s">
        <v>352</v>
      </c>
      <c r="C9" s="337">
        <f t="shared" si="0"/>
        <v>118000</v>
      </c>
      <c r="D9" s="175">
        <v>29500</v>
      </c>
      <c r="E9" s="200">
        <v>29500</v>
      </c>
      <c r="F9" s="200">
        <v>29500</v>
      </c>
      <c r="G9" s="73">
        <v>29500</v>
      </c>
      <c r="H9" s="73">
        <v>0</v>
      </c>
      <c r="I9" s="202" t="s">
        <v>6</v>
      </c>
      <c r="J9" s="202" t="s">
        <v>6</v>
      </c>
      <c r="K9" s="203" t="s">
        <v>279</v>
      </c>
    </row>
    <row r="10" spans="1:11" ht="57" customHeight="1" x14ac:dyDescent="0.2">
      <c r="A10" s="198" t="s">
        <v>922</v>
      </c>
      <c r="B10" s="199" t="s">
        <v>351</v>
      </c>
      <c r="C10" s="337">
        <f t="shared" si="0"/>
        <v>141</v>
      </c>
      <c r="D10" s="175">
        <v>47</v>
      </c>
      <c r="E10" s="175">
        <v>47</v>
      </c>
      <c r="F10" s="175">
        <v>47</v>
      </c>
      <c r="G10" s="73">
        <v>0</v>
      </c>
      <c r="H10" s="73">
        <v>0</v>
      </c>
      <c r="I10" s="201" t="s">
        <v>586</v>
      </c>
      <c r="J10" s="202" t="s">
        <v>587</v>
      </c>
      <c r="K10" s="203" t="s">
        <v>921</v>
      </c>
    </row>
    <row r="11" spans="1:11" ht="67.5" customHeight="1" thickBot="1" x14ac:dyDescent="0.25">
      <c r="A11" s="300" t="s">
        <v>588</v>
      </c>
      <c r="B11" s="301" t="s">
        <v>352</v>
      </c>
      <c r="C11" s="337">
        <f t="shared" si="0"/>
        <v>3920</v>
      </c>
      <c r="D11" s="302">
        <v>980</v>
      </c>
      <c r="E11" s="303">
        <v>980</v>
      </c>
      <c r="F11" s="303">
        <v>980</v>
      </c>
      <c r="G11" s="549">
        <v>980</v>
      </c>
      <c r="H11" s="549">
        <v>0</v>
      </c>
      <c r="I11" s="299" t="s">
        <v>6</v>
      </c>
      <c r="J11" s="299" t="s">
        <v>6</v>
      </c>
      <c r="K11" s="304" t="s">
        <v>280</v>
      </c>
    </row>
    <row r="12" spans="1:11" ht="37.5" customHeight="1" thickBot="1" x14ac:dyDescent="0.25">
      <c r="A12" s="70" t="s">
        <v>155</v>
      </c>
      <c r="B12" s="177"/>
      <c r="C12" s="71">
        <f t="shared" ref="C12:H12" si="1">SUM(C7:C11)</f>
        <v>137211</v>
      </c>
      <c r="D12" s="71">
        <f t="shared" si="1"/>
        <v>34727</v>
      </c>
      <c r="E12" s="71">
        <f t="shared" si="1"/>
        <v>34727</v>
      </c>
      <c r="F12" s="71">
        <f t="shared" si="1"/>
        <v>34727</v>
      </c>
      <c r="G12" s="71">
        <f t="shared" si="1"/>
        <v>33030</v>
      </c>
      <c r="H12" s="71">
        <f t="shared" si="1"/>
        <v>0</v>
      </c>
      <c r="I12" s="211"/>
      <c r="J12" s="211"/>
      <c r="K12" s="72"/>
    </row>
    <row r="13" spans="1:11" ht="18" customHeight="1" x14ac:dyDescent="0.2">
      <c r="A13" s="625" t="s">
        <v>104</v>
      </c>
      <c r="B13" s="626"/>
      <c r="C13" s="626"/>
      <c r="D13" s="626"/>
      <c r="E13" s="626"/>
      <c r="F13" s="626"/>
      <c r="G13" s="626"/>
      <c r="H13" s="626"/>
      <c r="I13" s="626"/>
      <c r="J13" s="626"/>
      <c r="K13" s="627"/>
    </row>
    <row r="14" spans="1:11" ht="93" customHeight="1" x14ac:dyDescent="0.2">
      <c r="A14" s="198" t="s">
        <v>162</v>
      </c>
      <c r="B14" s="212">
        <v>704</v>
      </c>
      <c r="C14" s="337">
        <f t="shared" ref="C14:C28" si="2">SUM(D14:H14)</f>
        <v>265500</v>
      </c>
      <c r="D14" s="213">
        <v>59000</v>
      </c>
      <c r="E14" s="213">
        <v>59000</v>
      </c>
      <c r="F14" s="213">
        <v>59000</v>
      </c>
      <c r="G14" s="73">
        <v>59000</v>
      </c>
      <c r="H14" s="73">
        <v>29500</v>
      </c>
      <c r="I14" s="201" t="s">
        <v>891</v>
      </c>
      <c r="J14" s="201" t="s">
        <v>589</v>
      </c>
      <c r="K14" s="203" t="s">
        <v>590</v>
      </c>
    </row>
    <row r="15" spans="1:11" ht="78" customHeight="1" x14ac:dyDescent="0.2">
      <c r="A15" s="198" t="s">
        <v>281</v>
      </c>
      <c r="B15" s="212">
        <v>705</v>
      </c>
      <c r="C15" s="337">
        <f t="shared" si="2"/>
        <v>8028</v>
      </c>
      <c r="D15" s="213">
        <v>2007</v>
      </c>
      <c r="E15" s="213">
        <v>2007</v>
      </c>
      <c r="F15" s="213">
        <v>2007</v>
      </c>
      <c r="G15" s="73">
        <v>2007</v>
      </c>
      <c r="H15" s="73">
        <v>0</v>
      </c>
      <c r="I15" s="201" t="s">
        <v>6</v>
      </c>
      <c r="J15" s="201" t="s">
        <v>6</v>
      </c>
      <c r="K15" s="203" t="s">
        <v>591</v>
      </c>
    </row>
    <row r="16" spans="1:11" ht="105" x14ac:dyDescent="0.2">
      <c r="A16" s="206" t="s">
        <v>592</v>
      </c>
      <c r="B16" s="212">
        <v>703</v>
      </c>
      <c r="C16" s="337">
        <f t="shared" si="2"/>
        <v>2982</v>
      </c>
      <c r="D16" s="213">
        <v>755</v>
      </c>
      <c r="E16" s="213">
        <v>749</v>
      </c>
      <c r="F16" s="213">
        <v>743</v>
      </c>
      <c r="G16" s="73">
        <v>735</v>
      </c>
      <c r="H16" s="73">
        <v>0</v>
      </c>
      <c r="I16" s="201" t="s">
        <v>593</v>
      </c>
      <c r="J16" s="201" t="s">
        <v>594</v>
      </c>
      <c r="K16" s="203" t="s">
        <v>595</v>
      </c>
    </row>
    <row r="17" spans="1:11" ht="78" customHeight="1" x14ac:dyDescent="0.2">
      <c r="A17" s="214" t="s">
        <v>161</v>
      </c>
      <c r="B17" s="212">
        <v>804</v>
      </c>
      <c r="C17" s="337">
        <f t="shared" si="2"/>
        <v>3090</v>
      </c>
      <c r="D17" s="200">
        <v>735</v>
      </c>
      <c r="E17" s="200">
        <v>760</v>
      </c>
      <c r="F17" s="200">
        <v>785</v>
      </c>
      <c r="G17" s="73">
        <v>810</v>
      </c>
      <c r="H17" s="73">
        <v>0</v>
      </c>
      <c r="I17" s="201" t="s">
        <v>353</v>
      </c>
      <c r="J17" s="202" t="s">
        <v>354</v>
      </c>
      <c r="K17" s="203" t="s">
        <v>596</v>
      </c>
    </row>
    <row r="18" spans="1:11" ht="84" x14ac:dyDescent="0.2">
      <c r="A18" s="198" t="s">
        <v>163</v>
      </c>
      <c r="B18" s="212">
        <v>807</v>
      </c>
      <c r="C18" s="337">
        <f t="shared" si="2"/>
        <v>2000</v>
      </c>
      <c r="D18" s="215">
        <v>500</v>
      </c>
      <c r="E18" s="215">
        <v>500</v>
      </c>
      <c r="F18" s="215">
        <v>500</v>
      </c>
      <c r="G18" s="73">
        <v>500</v>
      </c>
      <c r="H18" s="73">
        <v>0</v>
      </c>
      <c r="I18" s="201" t="s">
        <v>355</v>
      </c>
      <c r="J18" s="201" t="s">
        <v>6</v>
      </c>
      <c r="K18" s="216" t="s">
        <v>233</v>
      </c>
    </row>
    <row r="19" spans="1:11" ht="143.25" customHeight="1" x14ac:dyDescent="0.2">
      <c r="A19" s="198" t="s">
        <v>597</v>
      </c>
      <c r="B19" s="212">
        <v>817</v>
      </c>
      <c r="C19" s="337">
        <f t="shared" si="2"/>
        <v>60</v>
      </c>
      <c r="D19" s="215">
        <v>30</v>
      </c>
      <c r="E19" s="215">
        <v>30</v>
      </c>
      <c r="F19" s="305">
        <v>0</v>
      </c>
      <c r="G19" s="305">
        <v>0</v>
      </c>
      <c r="H19" s="73">
        <v>0</v>
      </c>
      <c r="I19" s="201" t="s">
        <v>598</v>
      </c>
      <c r="J19" s="201" t="s">
        <v>599</v>
      </c>
      <c r="K19" s="217" t="s">
        <v>600</v>
      </c>
    </row>
    <row r="20" spans="1:11" ht="111" customHeight="1" x14ac:dyDescent="0.2">
      <c r="A20" s="198" t="s">
        <v>164</v>
      </c>
      <c r="B20" s="212" t="s">
        <v>481</v>
      </c>
      <c r="C20" s="337">
        <f t="shared" si="2"/>
        <v>306860</v>
      </c>
      <c r="D20" s="215">
        <v>76715</v>
      </c>
      <c r="E20" s="215">
        <v>76715</v>
      </c>
      <c r="F20" s="305">
        <v>76715</v>
      </c>
      <c r="G20" s="305">
        <v>76715</v>
      </c>
      <c r="H20" s="73">
        <v>0</v>
      </c>
      <c r="I20" s="218" t="s">
        <v>356</v>
      </c>
      <c r="J20" s="218" t="s">
        <v>357</v>
      </c>
      <c r="K20" s="217" t="s">
        <v>358</v>
      </c>
    </row>
    <row r="21" spans="1:11" ht="111" customHeight="1" x14ac:dyDescent="0.2">
      <c r="A21" s="198" t="s">
        <v>165</v>
      </c>
      <c r="B21" s="212" t="s">
        <v>481</v>
      </c>
      <c r="C21" s="337">
        <f t="shared" si="2"/>
        <v>4000</v>
      </c>
      <c r="D21" s="215">
        <v>1600</v>
      </c>
      <c r="E21" s="215">
        <v>1200</v>
      </c>
      <c r="F21" s="305">
        <v>800</v>
      </c>
      <c r="G21" s="305">
        <v>400</v>
      </c>
      <c r="H21" s="73">
        <v>0</v>
      </c>
      <c r="I21" s="218" t="s">
        <v>356</v>
      </c>
      <c r="J21" s="218" t="s">
        <v>357</v>
      </c>
      <c r="K21" s="217" t="s">
        <v>358</v>
      </c>
    </row>
    <row r="22" spans="1:11" ht="57" customHeight="1" x14ac:dyDescent="0.2">
      <c r="A22" s="495" t="s">
        <v>925</v>
      </c>
      <c r="B22" s="212" t="s">
        <v>481</v>
      </c>
      <c r="C22" s="337">
        <f t="shared" si="2"/>
        <v>2821689</v>
      </c>
      <c r="D22" s="305">
        <v>526547</v>
      </c>
      <c r="E22" s="305">
        <v>1366342</v>
      </c>
      <c r="F22" s="305">
        <v>928800</v>
      </c>
      <c r="G22" s="305">
        <v>0</v>
      </c>
      <c r="H22" s="73">
        <v>0</v>
      </c>
      <c r="I22" s="470" t="s">
        <v>359</v>
      </c>
      <c r="J22" s="470" t="s">
        <v>360</v>
      </c>
      <c r="K22" s="471" t="s">
        <v>601</v>
      </c>
    </row>
    <row r="23" spans="1:11" ht="57" customHeight="1" x14ac:dyDescent="0.2">
      <c r="A23" s="495" t="s">
        <v>926</v>
      </c>
      <c r="B23" s="219" t="s">
        <v>481</v>
      </c>
      <c r="C23" s="337">
        <f t="shared" si="2"/>
        <v>7500</v>
      </c>
      <c r="D23" s="220">
        <v>3000</v>
      </c>
      <c r="E23" s="220">
        <v>3000</v>
      </c>
      <c r="F23" s="178">
        <v>1500</v>
      </c>
      <c r="G23" s="178">
        <v>0</v>
      </c>
      <c r="H23" s="73">
        <v>0</v>
      </c>
      <c r="I23" s="218" t="s">
        <v>602</v>
      </c>
      <c r="J23" s="218" t="s">
        <v>360</v>
      </c>
      <c r="K23" s="221" t="s">
        <v>601</v>
      </c>
    </row>
    <row r="24" spans="1:11" ht="89.25" customHeight="1" x14ac:dyDescent="0.2">
      <c r="A24" s="495" t="s">
        <v>927</v>
      </c>
      <c r="B24" s="219" t="s">
        <v>481</v>
      </c>
      <c r="C24" s="337">
        <f t="shared" si="2"/>
        <v>673130</v>
      </c>
      <c r="D24" s="220">
        <v>168285</v>
      </c>
      <c r="E24" s="220">
        <v>168285</v>
      </c>
      <c r="F24" s="178">
        <v>168285</v>
      </c>
      <c r="G24" s="178">
        <v>168275</v>
      </c>
      <c r="H24" s="73">
        <v>0</v>
      </c>
      <c r="I24" s="218" t="s">
        <v>602</v>
      </c>
      <c r="J24" s="201" t="s">
        <v>361</v>
      </c>
      <c r="K24" s="221" t="s">
        <v>362</v>
      </c>
    </row>
    <row r="25" spans="1:11" ht="89.25" customHeight="1" x14ac:dyDescent="0.2">
      <c r="A25" s="495" t="s">
        <v>928</v>
      </c>
      <c r="B25" s="219" t="s">
        <v>481</v>
      </c>
      <c r="C25" s="337">
        <f t="shared" si="2"/>
        <v>6500</v>
      </c>
      <c r="D25" s="220">
        <v>2500</v>
      </c>
      <c r="E25" s="220">
        <v>2000</v>
      </c>
      <c r="F25" s="178">
        <v>1500</v>
      </c>
      <c r="G25" s="178">
        <v>500</v>
      </c>
      <c r="H25" s="73">
        <v>0</v>
      </c>
      <c r="I25" s="201" t="s">
        <v>602</v>
      </c>
      <c r="J25" s="201" t="s">
        <v>361</v>
      </c>
      <c r="K25" s="221" t="s">
        <v>362</v>
      </c>
    </row>
    <row r="26" spans="1:11" ht="89.25" customHeight="1" x14ac:dyDescent="0.2">
      <c r="A26" s="495" t="s">
        <v>929</v>
      </c>
      <c r="B26" s="219" t="s">
        <v>765</v>
      </c>
      <c r="C26" s="337">
        <f t="shared" si="2"/>
        <v>3000000</v>
      </c>
      <c r="D26" s="220">
        <v>0</v>
      </c>
      <c r="E26" s="220">
        <v>0</v>
      </c>
      <c r="F26" s="178">
        <v>0</v>
      </c>
      <c r="G26" s="178">
        <v>0</v>
      </c>
      <c r="H26" s="73">
        <v>3000000</v>
      </c>
      <c r="I26" s="201" t="s">
        <v>603</v>
      </c>
      <c r="J26" s="201" t="s">
        <v>604</v>
      </c>
      <c r="K26" s="221" t="s">
        <v>605</v>
      </c>
    </row>
    <row r="27" spans="1:11" ht="89.25" customHeight="1" x14ac:dyDescent="0.2">
      <c r="A27" s="495" t="s">
        <v>930</v>
      </c>
      <c r="B27" s="219" t="s">
        <v>481</v>
      </c>
      <c r="C27" s="337">
        <f t="shared" si="2"/>
        <v>264900</v>
      </c>
      <c r="D27" s="220">
        <v>12900</v>
      </c>
      <c r="E27" s="220">
        <v>24000</v>
      </c>
      <c r="F27" s="178">
        <v>30000</v>
      </c>
      <c r="G27" s="178">
        <v>33000</v>
      </c>
      <c r="H27" s="73">
        <v>165000</v>
      </c>
      <c r="I27" s="201" t="s">
        <v>603</v>
      </c>
      <c r="J27" s="201" t="s">
        <v>604</v>
      </c>
      <c r="K27" s="221" t="s">
        <v>605</v>
      </c>
    </row>
    <row r="28" spans="1:11" ht="57.75" customHeight="1" thickBot="1" x14ac:dyDescent="0.25">
      <c r="A28" s="300" t="s">
        <v>606</v>
      </c>
      <c r="B28" s="306">
        <v>301</v>
      </c>
      <c r="C28" s="337">
        <f t="shared" si="2"/>
        <v>1205.1600000000001</v>
      </c>
      <c r="D28" s="307">
        <v>301.29000000000002</v>
      </c>
      <c r="E28" s="307">
        <v>301.29000000000002</v>
      </c>
      <c r="F28" s="550">
        <v>301.29000000000002</v>
      </c>
      <c r="G28" s="550">
        <v>301.29000000000002</v>
      </c>
      <c r="H28" s="549">
        <v>0</v>
      </c>
      <c r="I28" s="308" t="s">
        <v>607</v>
      </c>
      <c r="J28" s="308" t="s">
        <v>608</v>
      </c>
      <c r="K28" s="309" t="s">
        <v>609</v>
      </c>
    </row>
    <row r="29" spans="1:11" ht="27" customHeight="1" thickBot="1" x14ac:dyDescent="0.25">
      <c r="A29" s="74" t="s">
        <v>106</v>
      </c>
      <c r="B29" s="156"/>
      <c r="C29" s="76">
        <f t="shared" ref="C29:H29" si="3">SUM(C14:C28)</f>
        <v>7367444.1600000001</v>
      </c>
      <c r="D29" s="76">
        <f t="shared" si="3"/>
        <v>854875.29</v>
      </c>
      <c r="E29" s="76">
        <f t="shared" si="3"/>
        <v>1704889.29</v>
      </c>
      <c r="F29" s="76">
        <f t="shared" si="3"/>
        <v>1270936.29</v>
      </c>
      <c r="G29" s="76">
        <f t="shared" si="3"/>
        <v>342243.29</v>
      </c>
      <c r="H29" s="76">
        <f t="shared" si="3"/>
        <v>3194500</v>
      </c>
      <c r="I29" s="211"/>
      <c r="J29" s="211"/>
      <c r="K29" s="72"/>
    </row>
    <row r="30" spans="1:11" ht="18" customHeight="1" x14ac:dyDescent="0.2">
      <c r="A30" s="625" t="s">
        <v>614</v>
      </c>
      <c r="B30" s="626"/>
      <c r="C30" s="626"/>
      <c r="D30" s="626"/>
      <c r="E30" s="626"/>
      <c r="F30" s="626"/>
      <c r="G30" s="626"/>
      <c r="H30" s="626"/>
      <c r="I30" s="626"/>
      <c r="J30" s="626"/>
      <c r="K30" s="627"/>
    </row>
    <row r="31" spans="1:11" ht="67.5" customHeight="1" x14ac:dyDescent="0.2">
      <c r="A31" s="198" t="s">
        <v>892</v>
      </c>
      <c r="B31" s="212">
        <v>1603</v>
      </c>
      <c r="C31" s="337">
        <f t="shared" ref="C31:C41" si="4">SUM(D31:H31)</f>
        <v>42680</v>
      </c>
      <c r="D31" s="215">
        <v>10670</v>
      </c>
      <c r="E31" s="215">
        <v>10670</v>
      </c>
      <c r="F31" s="215">
        <v>10670</v>
      </c>
      <c r="G31" s="305">
        <v>10670</v>
      </c>
      <c r="H31" s="73">
        <v>0</v>
      </c>
      <c r="I31" s="226" t="s">
        <v>615</v>
      </c>
      <c r="J31" s="227" t="s">
        <v>370</v>
      </c>
      <c r="K31" s="216" t="s">
        <v>616</v>
      </c>
    </row>
    <row r="32" spans="1:11" ht="67.5" customHeight="1" x14ac:dyDescent="0.2">
      <c r="A32" s="198" t="s">
        <v>363</v>
      </c>
      <c r="B32" s="212">
        <v>1603</v>
      </c>
      <c r="C32" s="337">
        <f t="shared" si="4"/>
        <v>3106800</v>
      </c>
      <c r="D32" s="228">
        <v>776700</v>
      </c>
      <c r="E32" s="228">
        <v>776700</v>
      </c>
      <c r="F32" s="228">
        <v>776700</v>
      </c>
      <c r="G32" s="497">
        <v>776700</v>
      </c>
      <c r="H32" s="73">
        <v>0</v>
      </c>
      <c r="I32" s="226" t="s">
        <v>617</v>
      </c>
      <c r="J32" s="227" t="s">
        <v>364</v>
      </c>
      <c r="K32" s="216" t="s">
        <v>618</v>
      </c>
    </row>
    <row r="33" spans="1:11" ht="45" customHeight="1" x14ac:dyDescent="0.2">
      <c r="A33" s="495" t="s">
        <v>767</v>
      </c>
      <c r="B33" s="496">
        <v>1603</v>
      </c>
      <c r="C33" s="337">
        <f t="shared" si="4"/>
        <v>240240</v>
      </c>
      <c r="D33" s="497">
        <v>0</v>
      </c>
      <c r="E33" s="497">
        <v>5005</v>
      </c>
      <c r="F33" s="497">
        <v>60060</v>
      </c>
      <c r="G33" s="497">
        <v>60060</v>
      </c>
      <c r="H33" s="73">
        <v>115115</v>
      </c>
      <c r="I33" s="499" t="s">
        <v>619</v>
      </c>
      <c r="J33" s="500" t="s">
        <v>6</v>
      </c>
      <c r="K33" s="331" t="s">
        <v>797</v>
      </c>
    </row>
    <row r="34" spans="1:11" ht="89.25" customHeight="1" x14ac:dyDescent="0.2">
      <c r="A34" s="198" t="s">
        <v>365</v>
      </c>
      <c r="B34" s="212">
        <v>1603</v>
      </c>
      <c r="C34" s="337">
        <f t="shared" si="4"/>
        <v>226124</v>
      </c>
      <c r="D34" s="228">
        <v>113062</v>
      </c>
      <c r="E34" s="228">
        <v>113062</v>
      </c>
      <c r="F34" s="228">
        <v>0</v>
      </c>
      <c r="G34" s="228">
        <v>0</v>
      </c>
      <c r="H34" s="213">
        <v>0</v>
      </c>
      <c r="I34" s="226" t="s">
        <v>617</v>
      </c>
      <c r="J34" s="229" t="s">
        <v>366</v>
      </c>
      <c r="K34" s="217" t="s">
        <v>620</v>
      </c>
    </row>
    <row r="35" spans="1:11" ht="89.25" customHeight="1" x14ac:dyDescent="0.2">
      <c r="A35" s="198" t="s">
        <v>621</v>
      </c>
      <c r="B35" s="212">
        <v>1604</v>
      </c>
      <c r="C35" s="337">
        <f t="shared" si="4"/>
        <v>810000</v>
      </c>
      <c r="D35" s="228">
        <v>0</v>
      </c>
      <c r="E35" s="228">
        <v>8500</v>
      </c>
      <c r="F35" s="228">
        <v>202500</v>
      </c>
      <c r="G35" s="497">
        <v>202500</v>
      </c>
      <c r="H35" s="73">
        <v>396500</v>
      </c>
      <c r="I35" s="226" t="s">
        <v>617</v>
      </c>
      <c r="J35" s="229" t="s">
        <v>6</v>
      </c>
      <c r="K35" s="217" t="s">
        <v>622</v>
      </c>
    </row>
    <row r="36" spans="1:11" ht="67.5" customHeight="1" x14ac:dyDescent="0.2">
      <c r="A36" s="198" t="s">
        <v>166</v>
      </c>
      <c r="B36" s="212">
        <v>1603</v>
      </c>
      <c r="C36" s="337">
        <f t="shared" si="4"/>
        <v>692448</v>
      </c>
      <c r="D36" s="225">
        <v>173112</v>
      </c>
      <c r="E36" s="225">
        <v>173112</v>
      </c>
      <c r="F36" s="225">
        <v>173112</v>
      </c>
      <c r="G36" s="498">
        <v>173112</v>
      </c>
      <c r="H36" s="73">
        <v>0</v>
      </c>
      <c r="I36" s="226" t="s">
        <v>617</v>
      </c>
      <c r="J36" s="229" t="s">
        <v>367</v>
      </c>
      <c r="K36" s="217" t="s">
        <v>623</v>
      </c>
    </row>
    <row r="37" spans="1:11" ht="63" x14ac:dyDescent="0.2">
      <c r="A37" s="198" t="s">
        <v>167</v>
      </c>
      <c r="B37" s="212">
        <v>1603</v>
      </c>
      <c r="C37" s="337">
        <f t="shared" si="4"/>
        <v>189357</v>
      </c>
      <c r="D37" s="224">
        <v>32004</v>
      </c>
      <c r="E37" s="224">
        <v>32004</v>
      </c>
      <c r="F37" s="224">
        <v>32004</v>
      </c>
      <c r="G37" s="552">
        <v>32004</v>
      </c>
      <c r="H37" s="73">
        <v>61341</v>
      </c>
      <c r="I37" s="226" t="s">
        <v>617</v>
      </c>
      <c r="J37" s="227" t="s">
        <v>367</v>
      </c>
      <c r="K37" s="216" t="s">
        <v>624</v>
      </c>
    </row>
    <row r="38" spans="1:11" ht="67.5" customHeight="1" x14ac:dyDescent="0.2">
      <c r="A38" s="198" t="s">
        <v>368</v>
      </c>
      <c r="B38" s="212">
        <v>1603</v>
      </c>
      <c r="C38" s="337">
        <f t="shared" si="4"/>
        <v>295644</v>
      </c>
      <c r="D38" s="224">
        <v>73911</v>
      </c>
      <c r="E38" s="224">
        <v>73911</v>
      </c>
      <c r="F38" s="224">
        <v>73911</v>
      </c>
      <c r="G38" s="552">
        <v>73911</v>
      </c>
      <c r="H38" s="73">
        <v>0</v>
      </c>
      <c r="I38" s="226" t="s">
        <v>617</v>
      </c>
      <c r="J38" s="227" t="s">
        <v>369</v>
      </c>
      <c r="K38" s="216" t="s">
        <v>625</v>
      </c>
    </row>
    <row r="39" spans="1:11" ht="73.5" x14ac:dyDescent="0.2">
      <c r="A39" s="198" t="s">
        <v>626</v>
      </c>
      <c r="B39" s="212">
        <v>1603</v>
      </c>
      <c r="C39" s="337">
        <f t="shared" si="4"/>
        <v>3051</v>
      </c>
      <c r="D39" s="224">
        <v>768</v>
      </c>
      <c r="E39" s="224">
        <v>768</v>
      </c>
      <c r="F39" s="224">
        <v>783</v>
      </c>
      <c r="G39" s="552">
        <v>732</v>
      </c>
      <c r="H39" s="73">
        <v>0</v>
      </c>
      <c r="I39" s="226" t="s">
        <v>371</v>
      </c>
      <c r="J39" s="227" t="s">
        <v>372</v>
      </c>
      <c r="K39" s="216" t="s">
        <v>627</v>
      </c>
    </row>
    <row r="40" spans="1:11" ht="57" customHeight="1" x14ac:dyDescent="0.2">
      <c r="A40" s="198" t="s">
        <v>628</v>
      </c>
      <c r="B40" s="212">
        <v>1603</v>
      </c>
      <c r="C40" s="337">
        <f t="shared" si="4"/>
        <v>27505</v>
      </c>
      <c r="D40" s="224">
        <v>6876</v>
      </c>
      <c r="E40" s="224">
        <v>6876</v>
      </c>
      <c r="F40" s="224">
        <v>6876</v>
      </c>
      <c r="G40" s="552">
        <v>6877</v>
      </c>
      <c r="H40" s="73">
        <v>0</v>
      </c>
      <c r="I40" s="226" t="s">
        <v>617</v>
      </c>
      <c r="J40" s="227" t="s">
        <v>629</v>
      </c>
      <c r="K40" s="216" t="s">
        <v>630</v>
      </c>
    </row>
    <row r="41" spans="1:11" ht="67.5" customHeight="1" x14ac:dyDescent="0.2">
      <c r="A41" s="198" t="s">
        <v>631</v>
      </c>
      <c r="B41" s="212">
        <v>1603</v>
      </c>
      <c r="C41" s="337">
        <f t="shared" si="4"/>
        <v>30000</v>
      </c>
      <c r="D41" s="224">
        <v>5000</v>
      </c>
      <c r="E41" s="224">
        <v>5000</v>
      </c>
      <c r="F41" s="224">
        <v>5000</v>
      </c>
      <c r="G41" s="552">
        <v>5000</v>
      </c>
      <c r="H41" s="73">
        <v>10000</v>
      </c>
      <c r="I41" s="226" t="s">
        <v>632</v>
      </c>
      <c r="J41" s="227" t="s">
        <v>6</v>
      </c>
      <c r="K41" s="331" t="s">
        <v>882</v>
      </c>
    </row>
    <row r="42" spans="1:11" ht="24.75" customHeight="1" x14ac:dyDescent="0.2">
      <c r="A42" s="230" t="s">
        <v>633</v>
      </c>
      <c r="B42" s="231"/>
      <c r="C42" s="232">
        <f t="shared" ref="C42:H42" si="5">SUM(C31:C41)</f>
        <v>5663849</v>
      </c>
      <c r="D42" s="232">
        <f t="shared" si="5"/>
        <v>1192103</v>
      </c>
      <c r="E42" s="232">
        <f t="shared" si="5"/>
        <v>1205608</v>
      </c>
      <c r="F42" s="232">
        <f t="shared" si="5"/>
        <v>1341616</v>
      </c>
      <c r="G42" s="232">
        <f t="shared" si="5"/>
        <v>1341566</v>
      </c>
      <c r="H42" s="232">
        <f t="shared" si="5"/>
        <v>582956</v>
      </c>
      <c r="I42" s="233"/>
      <c r="J42" s="234"/>
      <c r="K42" s="235"/>
    </row>
    <row r="43" spans="1:11" ht="168" x14ac:dyDescent="0.2">
      <c r="A43" s="198" t="s">
        <v>168</v>
      </c>
      <c r="B43" s="212">
        <v>1604</v>
      </c>
      <c r="C43" s="337">
        <f t="shared" ref="C43:C68" si="6">SUM(D43:H43)</f>
        <v>243597</v>
      </c>
      <c r="D43" s="236">
        <v>60899</v>
      </c>
      <c r="E43" s="236">
        <v>60899</v>
      </c>
      <c r="F43" s="236">
        <v>60899</v>
      </c>
      <c r="G43" s="553">
        <v>60900</v>
      </c>
      <c r="H43" s="73">
        <v>0</v>
      </c>
      <c r="I43" s="226" t="s">
        <v>381</v>
      </c>
      <c r="J43" s="227" t="s">
        <v>382</v>
      </c>
      <c r="K43" s="216" t="s">
        <v>634</v>
      </c>
    </row>
    <row r="44" spans="1:11" ht="168" x14ac:dyDescent="0.2">
      <c r="A44" s="198" t="s">
        <v>169</v>
      </c>
      <c r="B44" s="212">
        <v>1604</v>
      </c>
      <c r="C44" s="337">
        <f t="shared" si="6"/>
        <v>438890</v>
      </c>
      <c r="D44" s="215">
        <v>87778</v>
      </c>
      <c r="E44" s="215">
        <v>87778</v>
      </c>
      <c r="F44" s="215">
        <v>87778</v>
      </c>
      <c r="G44" s="305">
        <v>87778</v>
      </c>
      <c r="H44" s="73">
        <v>87778</v>
      </c>
      <c r="I44" s="226" t="s">
        <v>383</v>
      </c>
      <c r="J44" s="227" t="s">
        <v>384</v>
      </c>
      <c r="K44" s="216" t="s">
        <v>635</v>
      </c>
    </row>
    <row r="45" spans="1:11" ht="99" customHeight="1" x14ac:dyDescent="0.2">
      <c r="A45" s="198" t="s">
        <v>171</v>
      </c>
      <c r="B45" s="212">
        <v>1604</v>
      </c>
      <c r="C45" s="337">
        <f t="shared" si="6"/>
        <v>377751</v>
      </c>
      <c r="D45" s="215">
        <v>58116</v>
      </c>
      <c r="E45" s="215">
        <v>58116</v>
      </c>
      <c r="F45" s="215">
        <v>58116</v>
      </c>
      <c r="G45" s="215">
        <v>58116</v>
      </c>
      <c r="H45" s="73">
        <v>145287</v>
      </c>
      <c r="I45" s="226" t="s">
        <v>636</v>
      </c>
      <c r="J45" s="227" t="s">
        <v>385</v>
      </c>
      <c r="K45" s="216" t="s">
        <v>637</v>
      </c>
    </row>
    <row r="46" spans="1:11" ht="111" customHeight="1" x14ac:dyDescent="0.2">
      <c r="A46" s="198" t="s">
        <v>172</v>
      </c>
      <c r="B46" s="212">
        <v>1604</v>
      </c>
      <c r="C46" s="337">
        <f t="shared" si="6"/>
        <v>516622</v>
      </c>
      <c r="D46" s="215">
        <v>79480</v>
      </c>
      <c r="E46" s="215">
        <v>79480</v>
      </c>
      <c r="F46" s="215">
        <v>79480</v>
      </c>
      <c r="G46" s="215">
        <v>79480</v>
      </c>
      <c r="H46" s="73">
        <v>198702</v>
      </c>
      <c r="I46" s="226" t="s">
        <v>636</v>
      </c>
      <c r="J46" s="227" t="s">
        <v>386</v>
      </c>
      <c r="K46" s="216" t="s">
        <v>638</v>
      </c>
    </row>
    <row r="47" spans="1:11" ht="126" x14ac:dyDescent="0.2">
      <c r="A47" s="198" t="s">
        <v>173</v>
      </c>
      <c r="B47" s="212">
        <v>1604</v>
      </c>
      <c r="C47" s="337">
        <f t="shared" si="6"/>
        <v>218506</v>
      </c>
      <c r="D47" s="215">
        <v>31216</v>
      </c>
      <c r="E47" s="215">
        <v>31216</v>
      </c>
      <c r="F47" s="215">
        <v>31216</v>
      </c>
      <c r="G47" s="215">
        <v>31216</v>
      </c>
      <c r="H47" s="73">
        <v>93642</v>
      </c>
      <c r="I47" s="226" t="s">
        <v>387</v>
      </c>
      <c r="J47" s="227" t="s">
        <v>388</v>
      </c>
      <c r="K47" s="216" t="s">
        <v>639</v>
      </c>
    </row>
    <row r="48" spans="1:11" ht="126" x14ac:dyDescent="0.2">
      <c r="A48" s="198" t="s">
        <v>174</v>
      </c>
      <c r="B48" s="212">
        <v>1604</v>
      </c>
      <c r="C48" s="337">
        <f t="shared" si="6"/>
        <v>1043749</v>
      </c>
      <c r="D48" s="215">
        <v>149107</v>
      </c>
      <c r="E48" s="215">
        <v>149107</v>
      </c>
      <c r="F48" s="215">
        <v>149107</v>
      </c>
      <c r="G48" s="215">
        <v>149107</v>
      </c>
      <c r="H48" s="73">
        <v>447321</v>
      </c>
      <c r="I48" s="226" t="s">
        <v>640</v>
      </c>
      <c r="J48" s="227" t="s">
        <v>389</v>
      </c>
      <c r="K48" s="216" t="s">
        <v>641</v>
      </c>
    </row>
    <row r="49" spans="1:11" ht="136.5" x14ac:dyDescent="0.2">
      <c r="A49" s="198" t="s">
        <v>175</v>
      </c>
      <c r="B49" s="212">
        <v>1604</v>
      </c>
      <c r="C49" s="337">
        <f t="shared" si="6"/>
        <v>812810</v>
      </c>
      <c r="D49" s="215">
        <v>116116</v>
      </c>
      <c r="E49" s="215">
        <v>116116</v>
      </c>
      <c r="F49" s="215">
        <v>116116</v>
      </c>
      <c r="G49" s="215">
        <v>116116</v>
      </c>
      <c r="H49" s="73">
        <v>348346</v>
      </c>
      <c r="I49" s="226" t="s">
        <v>390</v>
      </c>
      <c r="J49" s="227" t="s">
        <v>391</v>
      </c>
      <c r="K49" s="216" t="s">
        <v>642</v>
      </c>
    </row>
    <row r="50" spans="1:11" ht="136.5" x14ac:dyDescent="0.2">
      <c r="A50" s="198" t="s">
        <v>176</v>
      </c>
      <c r="B50" s="212">
        <v>1604</v>
      </c>
      <c r="C50" s="337">
        <f t="shared" si="6"/>
        <v>682607</v>
      </c>
      <c r="D50" s="215">
        <v>91015</v>
      </c>
      <c r="E50" s="215">
        <v>91015</v>
      </c>
      <c r="F50" s="215">
        <v>91015</v>
      </c>
      <c r="G50" s="215">
        <v>91015</v>
      </c>
      <c r="H50" s="73">
        <v>318547</v>
      </c>
      <c r="I50" s="226" t="s">
        <v>392</v>
      </c>
      <c r="J50" s="227" t="s">
        <v>393</v>
      </c>
      <c r="K50" s="216" t="s">
        <v>643</v>
      </c>
    </row>
    <row r="51" spans="1:11" ht="126" x14ac:dyDescent="0.2">
      <c r="A51" s="198" t="s">
        <v>181</v>
      </c>
      <c r="B51" s="212">
        <v>1604</v>
      </c>
      <c r="C51" s="337">
        <f t="shared" si="6"/>
        <v>410390</v>
      </c>
      <c r="D51" s="215">
        <v>54719</v>
      </c>
      <c r="E51" s="215">
        <v>54719</v>
      </c>
      <c r="F51" s="215">
        <v>54719</v>
      </c>
      <c r="G51" s="215">
        <v>54719</v>
      </c>
      <c r="H51" s="73">
        <v>191514</v>
      </c>
      <c r="I51" s="226" t="s">
        <v>640</v>
      </c>
      <c r="J51" s="227" t="s">
        <v>394</v>
      </c>
      <c r="K51" s="237" t="s">
        <v>644</v>
      </c>
    </row>
    <row r="52" spans="1:11" ht="136.5" x14ac:dyDescent="0.2">
      <c r="A52" s="198" t="s">
        <v>179</v>
      </c>
      <c r="B52" s="212">
        <v>1604</v>
      </c>
      <c r="C52" s="337">
        <f t="shared" si="6"/>
        <v>986858</v>
      </c>
      <c r="D52" s="215">
        <v>131582</v>
      </c>
      <c r="E52" s="215">
        <v>131582</v>
      </c>
      <c r="F52" s="215">
        <v>131582</v>
      </c>
      <c r="G52" s="215">
        <v>131582</v>
      </c>
      <c r="H52" s="73">
        <v>460530</v>
      </c>
      <c r="I52" s="226" t="s">
        <v>381</v>
      </c>
      <c r="J52" s="227" t="s">
        <v>395</v>
      </c>
      <c r="K52" s="237" t="s">
        <v>645</v>
      </c>
    </row>
    <row r="53" spans="1:11" ht="136.5" x14ac:dyDescent="0.2">
      <c r="A53" s="198" t="s">
        <v>178</v>
      </c>
      <c r="B53" s="212">
        <v>1604</v>
      </c>
      <c r="C53" s="337">
        <f t="shared" si="6"/>
        <v>259983</v>
      </c>
      <c r="D53" s="215">
        <v>37140</v>
      </c>
      <c r="E53" s="215">
        <v>37140</v>
      </c>
      <c r="F53" s="215">
        <v>37140</v>
      </c>
      <c r="G53" s="215">
        <v>37140</v>
      </c>
      <c r="H53" s="73">
        <v>111423</v>
      </c>
      <c r="I53" s="226" t="s">
        <v>392</v>
      </c>
      <c r="J53" s="227" t="s">
        <v>396</v>
      </c>
      <c r="K53" s="237" t="s">
        <v>646</v>
      </c>
    </row>
    <row r="54" spans="1:11" ht="136.5" x14ac:dyDescent="0.2">
      <c r="A54" s="198" t="s">
        <v>182</v>
      </c>
      <c r="B54" s="212">
        <v>1604</v>
      </c>
      <c r="C54" s="337">
        <f t="shared" si="6"/>
        <v>483147</v>
      </c>
      <c r="D54" s="215">
        <v>69022</v>
      </c>
      <c r="E54" s="215">
        <v>69022</v>
      </c>
      <c r="F54" s="215">
        <v>69022</v>
      </c>
      <c r="G54" s="215">
        <v>69022</v>
      </c>
      <c r="H54" s="73">
        <v>207059</v>
      </c>
      <c r="I54" s="226" t="s">
        <v>392</v>
      </c>
      <c r="J54" s="227" t="s">
        <v>397</v>
      </c>
      <c r="K54" s="237" t="s">
        <v>647</v>
      </c>
    </row>
    <row r="55" spans="1:11" ht="136.5" x14ac:dyDescent="0.2">
      <c r="A55" s="198" t="s">
        <v>180</v>
      </c>
      <c r="B55" s="212">
        <v>1604</v>
      </c>
      <c r="C55" s="337">
        <f t="shared" si="6"/>
        <v>398293</v>
      </c>
      <c r="D55" s="215">
        <v>56899</v>
      </c>
      <c r="E55" s="215">
        <v>56899</v>
      </c>
      <c r="F55" s="215">
        <v>56899</v>
      </c>
      <c r="G55" s="305">
        <v>56899</v>
      </c>
      <c r="H55" s="73">
        <v>170697</v>
      </c>
      <c r="I55" s="226" t="s">
        <v>392</v>
      </c>
      <c r="J55" s="227" t="s">
        <v>398</v>
      </c>
      <c r="K55" s="237" t="s">
        <v>648</v>
      </c>
    </row>
    <row r="56" spans="1:11" ht="115.5" x14ac:dyDescent="0.2">
      <c r="A56" s="198" t="s">
        <v>289</v>
      </c>
      <c r="B56" s="212">
        <v>1604</v>
      </c>
      <c r="C56" s="337">
        <f t="shared" si="6"/>
        <v>591146</v>
      </c>
      <c r="D56" s="215">
        <v>78820</v>
      </c>
      <c r="E56" s="215">
        <v>78820</v>
      </c>
      <c r="F56" s="215">
        <v>78820</v>
      </c>
      <c r="G56" s="305">
        <v>78820</v>
      </c>
      <c r="H56" s="73">
        <v>275866</v>
      </c>
      <c r="I56" s="226" t="s">
        <v>387</v>
      </c>
      <c r="J56" s="227" t="s">
        <v>399</v>
      </c>
      <c r="K56" s="216" t="s">
        <v>649</v>
      </c>
    </row>
    <row r="57" spans="1:11" ht="147" x14ac:dyDescent="0.2">
      <c r="A57" s="198" t="s">
        <v>177</v>
      </c>
      <c r="B57" s="212">
        <v>1604</v>
      </c>
      <c r="C57" s="337">
        <f t="shared" si="6"/>
        <v>858906</v>
      </c>
      <c r="D57" s="238">
        <v>101048</v>
      </c>
      <c r="E57" s="238">
        <v>101048</v>
      </c>
      <c r="F57" s="238">
        <v>101048</v>
      </c>
      <c r="G57" s="554">
        <v>101048</v>
      </c>
      <c r="H57" s="73">
        <v>454714</v>
      </c>
      <c r="I57" s="226" t="s">
        <v>650</v>
      </c>
      <c r="J57" s="227" t="s">
        <v>400</v>
      </c>
      <c r="K57" s="237" t="s">
        <v>651</v>
      </c>
    </row>
    <row r="58" spans="1:11" ht="54" customHeight="1" x14ac:dyDescent="0.2">
      <c r="A58" s="198" t="s">
        <v>283</v>
      </c>
      <c r="B58" s="212">
        <v>1604</v>
      </c>
      <c r="C58" s="337">
        <f t="shared" si="6"/>
        <v>1034</v>
      </c>
      <c r="D58" s="238">
        <v>517</v>
      </c>
      <c r="E58" s="238">
        <v>517</v>
      </c>
      <c r="F58" s="215">
        <v>0</v>
      </c>
      <c r="G58" s="215">
        <v>0</v>
      </c>
      <c r="H58" s="213">
        <v>0</v>
      </c>
      <c r="I58" s="226" t="s">
        <v>401</v>
      </c>
      <c r="J58" s="227" t="s">
        <v>402</v>
      </c>
      <c r="K58" s="216" t="s">
        <v>652</v>
      </c>
    </row>
    <row r="59" spans="1:11" ht="45" customHeight="1" x14ac:dyDescent="0.2">
      <c r="A59" s="198" t="s">
        <v>284</v>
      </c>
      <c r="B59" s="212">
        <v>1604</v>
      </c>
      <c r="C59" s="337">
        <f t="shared" si="6"/>
        <v>260</v>
      </c>
      <c r="D59" s="238">
        <v>130</v>
      </c>
      <c r="E59" s="238">
        <v>130</v>
      </c>
      <c r="F59" s="215">
        <v>0</v>
      </c>
      <c r="G59" s="215">
        <v>0</v>
      </c>
      <c r="H59" s="213">
        <v>0</v>
      </c>
      <c r="I59" s="226" t="s">
        <v>653</v>
      </c>
      <c r="J59" s="227" t="s">
        <v>403</v>
      </c>
      <c r="K59" s="216" t="s">
        <v>654</v>
      </c>
    </row>
    <row r="60" spans="1:11" ht="54" customHeight="1" x14ac:dyDescent="0.2">
      <c r="A60" s="198" t="s">
        <v>285</v>
      </c>
      <c r="B60" s="212">
        <v>1604</v>
      </c>
      <c r="C60" s="337">
        <f t="shared" si="6"/>
        <v>148554</v>
      </c>
      <c r="D60" s="238">
        <v>21222</v>
      </c>
      <c r="E60" s="238">
        <v>21222</v>
      </c>
      <c r="F60" s="238">
        <v>21222</v>
      </c>
      <c r="G60" s="554">
        <v>21222</v>
      </c>
      <c r="H60" s="73">
        <v>63666</v>
      </c>
      <c r="I60" s="226" t="s">
        <v>404</v>
      </c>
      <c r="J60" s="227" t="s">
        <v>405</v>
      </c>
      <c r="K60" s="216" t="s">
        <v>655</v>
      </c>
    </row>
    <row r="61" spans="1:11" ht="57" customHeight="1" x14ac:dyDescent="0.2">
      <c r="A61" s="198" t="s">
        <v>286</v>
      </c>
      <c r="B61" s="212">
        <v>1604</v>
      </c>
      <c r="C61" s="337">
        <f t="shared" si="6"/>
        <v>14539</v>
      </c>
      <c r="D61" s="238">
        <v>2077</v>
      </c>
      <c r="E61" s="238">
        <v>2077</v>
      </c>
      <c r="F61" s="238">
        <v>2077</v>
      </c>
      <c r="G61" s="554">
        <v>2077</v>
      </c>
      <c r="H61" s="73">
        <v>6231</v>
      </c>
      <c r="I61" s="226" t="s">
        <v>406</v>
      </c>
      <c r="J61" s="227" t="s">
        <v>407</v>
      </c>
      <c r="K61" s="216" t="s">
        <v>656</v>
      </c>
    </row>
    <row r="62" spans="1:11" ht="57" customHeight="1" x14ac:dyDescent="0.2">
      <c r="A62" s="198" t="s">
        <v>287</v>
      </c>
      <c r="B62" s="212">
        <v>1604</v>
      </c>
      <c r="C62" s="337">
        <f t="shared" si="6"/>
        <v>56955</v>
      </c>
      <c r="D62" s="238">
        <v>18985</v>
      </c>
      <c r="E62" s="238">
        <v>18985</v>
      </c>
      <c r="F62" s="238">
        <v>18985</v>
      </c>
      <c r="G62" s="238">
        <v>0</v>
      </c>
      <c r="H62" s="213">
        <v>0</v>
      </c>
      <c r="I62" s="226" t="s">
        <v>408</v>
      </c>
      <c r="J62" s="227" t="s">
        <v>409</v>
      </c>
      <c r="K62" s="216" t="s">
        <v>657</v>
      </c>
    </row>
    <row r="63" spans="1:11" ht="75.75" customHeight="1" x14ac:dyDescent="0.2">
      <c r="A63" s="214" t="s">
        <v>170</v>
      </c>
      <c r="B63" s="212">
        <v>1604</v>
      </c>
      <c r="C63" s="337">
        <f t="shared" si="6"/>
        <v>61740</v>
      </c>
      <c r="D63" s="215">
        <v>10290</v>
      </c>
      <c r="E63" s="215">
        <v>10290</v>
      </c>
      <c r="F63" s="215">
        <v>10290</v>
      </c>
      <c r="G63" s="305">
        <v>10290</v>
      </c>
      <c r="H63" s="73">
        <v>20580</v>
      </c>
      <c r="I63" s="226" t="s">
        <v>658</v>
      </c>
      <c r="J63" s="227" t="s">
        <v>410</v>
      </c>
      <c r="K63" s="239" t="s">
        <v>659</v>
      </c>
    </row>
    <row r="64" spans="1:11" ht="78" customHeight="1" x14ac:dyDescent="0.2">
      <c r="A64" s="214" t="s">
        <v>288</v>
      </c>
      <c r="B64" s="212">
        <v>1604</v>
      </c>
      <c r="C64" s="337">
        <f t="shared" si="6"/>
        <v>4508</v>
      </c>
      <c r="D64" s="236">
        <v>644</v>
      </c>
      <c r="E64" s="236">
        <v>644</v>
      </c>
      <c r="F64" s="236">
        <v>644</v>
      </c>
      <c r="G64" s="553">
        <v>644</v>
      </c>
      <c r="H64" s="73">
        <v>1932</v>
      </c>
      <c r="I64" s="226" t="s">
        <v>411</v>
      </c>
      <c r="J64" s="227" t="s">
        <v>412</v>
      </c>
      <c r="K64" s="239" t="s">
        <v>660</v>
      </c>
    </row>
    <row r="65" spans="1:11" ht="115.5" x14ac:dyDescent="0.2">
      <c r="A65" s="198" t="s">
        <v>661</v>
      </c>
      <c r="B65" s="212">
        <v>1604</v>
      </c>
      <c r="C65" s="337">
        <f t="shared" si="6"/>
        <v>964216</v>
      </c>
      <c r="D65" s="236">
        <v>107135</v>
      </c>
      <c r="E65" s="236">
        <v>107135</v>
      </c>
      <c r="F65" s="236">
        <v>107135</v>
      </c>
      <c r="G65" s="553">
        <v>107135</v>
      </c>
      <c r="H65" s="73">
        <v>535676</v>
      </c>
      <c r="I65" s="226" t="s">
        <v>650</v>
      </c>
      <c r="J65" s="227" t="s">
        <v>662</v>
      </c>
      <c r="K65" s="239" t="s">
        <v>663</v>
      </c>
    </row>
    <row r="66" spans="1:11" ht="105" x14ac:dyDescent="0.2">
      <c r="A66" s="198" t="s">
        <v>664</v>
      </c>
      <c r="B66" s="212">
        <v>1604</v>
      </c>
      <c r="C66" s="337">
        <f t="shared" si="6"/>
        <v>226647</v>
      </c>
      <c r="D66" s="236">
        <v>75549</v>
      </c>
      <c r="E66" s="236">
        <v>75549</v>
      </c>
      <c r="F66" s="236">
        <v>75549</v>
      </c>
      <c r="G66" s="553">
        <v>0</v>
      </c>
      <c r="H66" s="73">
        <v>0</v>
      </c>
      <c r="I66" s="226" t="s">
        <v>650</v>
      </c>
      <c r="J66" s="227" t="s">
        <v>665</v>
      </c>
      <c r="K66" s="239" t="s">
        <v>666</v>
      </c>
    </row>
    <row r="67" spans="1:11" ht="111" customHeight="1" x14ac:dyDescent="0.2">
      <c r="A67" s="198" t="s">
        <v>667</v>
      </c>
      <c r="B67" s="240">
        <v>1604</v>
      </c>
      <c r="C67" s="337">
        <f t="shared" si="6"/>
        <v>1039485</v>
      </c>
      <c r="D67" s="215">
        <v>0</v>
      </c>
      <c r="E67" s="215">
        <v>103948</v>
      </c>
      <c r="F67" s="215">
        <v>103948</v>
      </c>
      <c r="G67" s="305">
        <v>103948</v>
      </c>
      <c r="H67" s="73">
        <v>727641</v>
      </c>
      <c r="I67" s="241" t="s">
        <v>668</v>
      </c>
      <c r="J67" s="242" t="s">
        <v>669</v>
      </c>
      <c r="K67" s="239" t="s">
        <v>670</v>
      </c>
    </row>
    <row r="68" spans="1:11" ht="34.5" customHeight="1" x14ac:dyDescent="0.2">
      <c r="A68" s="206" t="s">
        <v>671</v>
      </c>
      <c r="B68" s="240">
        <v>1604</v>
      </c>
      <c r="C68" s="337">
        <f t="shared" si="6"/>
        <v>14100</v>
      </c>
      <c r="D68" s="236">
        <v>14100</v>
      </c>
      <c r="E68" s="236">
        <v>0</v>
      </c>
      <c r="F68" s="236">
        <v>0</v>
      </c>
      <c r="G68" s="553">
        <v>0</v>
      </c>
      <c r="H68" s="73">
        <v>0</v>
      </c>
      <c r="I68" s="241" t="s">
        <v>408</v>
      </c>
      <c r="J68" s="243" t="s">
        <v>672</v>
      </c>
      <c r="K68" s="203" t="s">
        <v>673</v>
      </c>
    </row>
    <row r="69" spans="1:11" ht="24.75" customHeight="1" x14ac:dyDescent="0.2">
      <c r="A69" s="230" t="s">
        <v>674</v>
      </c>
      <c r="B69" s="231"/>
      <c r="C69" s="232">
        <f>SUM(C43:C68)</f>
        <v>10855293</v>
      </c>
      <c r="D69" s="232">
        <f t="shared" ref="D69:H69" si="7">SUM(D43:D68)</f>
        <v>1453606</v>
      </c>
      <c r="E69" s="232">
        <f t="shared" si="7"/>
        <v>1543454</v>
      </c>
      <c r="F69" s="232">
        <f t="shared" si="7"/>
        <v>1542807</v>
      </c>
      <c r="G69" s="232">
        <f t="shared" si="7"/>
        <v>1448274</v>
      </c>
      <c r="H69" s="232">
        <f t="shared" si="7"/>
        <v>4867152</v>
      </c>
      <c r="I69" s="233"/>
      <c r="J69" s="234"/>
      <c r="K69" s="235"/>
    </row>
    <row r="70" spans="1:11" ht="88.5" customHeight="1" x14ac:dyDescent="0.2">
      <c r="A70" s="214" t="s">
        <v>380</v>
      </c>
      <c r="B70" s="212">
        <v>1620</v>
      </c>
      <c r="C70" s="337">
        <f t="shared" ref="C70" si="8">SUM(D70:H70)</f>
        <v>93600</v>
      </c>
      <c r="D70" s="224">
        <v>20800</v>
      </c>
      <c r="E70" s="224">
        <v>20800</v>
      </c>
      <c r="F70" s="224">
        <v>20800</v>
      </c>
      <c r="G70" s="552">
        <v>20800</v>
      </c>
      <c r="H70" s="73">
        <v>10400</v>
      </c>
      <c r="I70" s="226" t="s">
        <v>675</v>
      </c>
      <c r="J70" s="226" t="s">
        <v>676</v>
      </c>
      <c r="K70" s="203" t="s">
        <v>677</v>
      </c>
    </row>
    <row r="71" spans="1:11" ht="24.75" customHeight="1" x14ac:dyDescent="0.2">
      <c r="A71" s="230" t="s">
        <v>678</v>
      </c>
      <c r="B71" s="231"/>
      <c r="C71" s="232">
        <f>SUM(C70)</f>
        <v>93600</v>
      </c>
      <c r="D71" s="232">
        <f t="shared" ref="D71:H71" si="9">SUM(D70)</f>
        <v>20800</v>
      </c>
      <c r="E71" s="232">
        <f t="shared" si="9"/>
        <v>20800</v>
      </c>
      <c r="F71" s="232">
        <f t="shared" si="9"/>
        <v>20800</v>
      </c>
      <c r="G71" s="232">
        <f t="shared" si="9"/>
        <v>20800</v>
      </c>
      <c r="H71" s="232">
        <f t="shared" si="9"/>
        <v>10400</v>
      </c>
      <c r="I71" s="233"/>
      <c r="J71" s="234"/>
      <c r="K71" s="235"/>
    </row>
    <row r="72" spans="1:11" ht="45" customHeight="1" x14ac:dyDescent="0.2">
      <c r="A72" s="198" t="s">
        <v>373</v>
      </c>
      <c r="B72" s="212">
        <v>1616</v>
      </c>
      <c r="C72" s="337">
        <f t="shared" ref="C72:C74" si="10">SUM(D72:H72)</f>
        <v>32800</v>
      </c>
      <c r="D72" s="224">
        <v>8200</v>
      </c>
      <c r="E72" s="224">
        <v>8200</v>
      </c>
      <c r="F72" s="224">
        <v>8200</v>
      </c>
      <c r="G72" s="552">
        <v>8200</v>
      </c>
      <c r="H72" s="73">
        <v>0</v>
      </c>
      <c r="I72" s="226" t="s">
        <v>374</v>
      </c>
      <c r="J72" s="227" t="s">
        <v>375</v>
      </c>
      <c r="K72" s="216" t="s">
        <v>376</v>
      </c>
    </row>
    <row r="73" spans="1:11" ht="57" customHeight="1" x14ac:dyDescent="0.2">
      <c r="A73" s="198" t="s">
        <v>282</v>
      </c>
      <c r="B73" s="212" t="s">
        <v>481</v>
      </c>
      <c r="C73" s="337">
        <f t="shared" si="10"/>
        <v>195495</v>
      </c>
      <c r="D73" s="224">
        <v>0</v>
      </c>
      <c r="E73" s="224">
        <v>0</v>
      </c>
      <c r="F73" s="224">
        <v>0</v>
      </c>
      <c r="G73" s="552">
        <v>0</v>
      </c>
      <c r="H73" s="73">
        <v>195495</v>
      </c>
      <c r="I73" s="226" t="s">
        <v>377</v>
      </c>
      <c r="J73" s="227" t="s">
        <v>378</v>
      </c>
      <c r="K73" s="244" t="s">
        <v>379</v>
      </c>
    </row>
    <row r="74" spans="1:11" ht="67.5" customHeight="1" x14ac:dyDescent="0.2">
      <c r="A74" s="206" t="s">
        <v>679</v>
      </c>
      <c r="B74" s="240"/>
      <c r="C74" s="337">
        <f t="shared" si="10"/>
        <v>4000</v>
      </c>
      <c r="D74" s="245">
        <v>4000</v>
      </c>
      <c r="E74" s="245">
        <v>0</v>
      </c>
      <c r="F74" s="245">
        <v>0</v>
      </c>
      <c r="G74" s="521">
        <v>0</v>
      </c>
      <c r="H74" s="73">
        <v>0</v>
      </c>
      <c r="I74" s="241" t="s">
        <v>680</v>
      </c>
      <c r="J74" s="242" t="s">
        <v>681</v>
      </c>
      <c r="K74" s="246" t="s">
        <v>682</v>
      </c>
    </row>
    <row r="75" spans="1:11" ht="15.75" customHeight="1" x14ac:dyDescent="0.2">
      <c r="A75" s="230" t="s">
        <v>683</v>
      </c>
      <c r="B75" s="231"/>
      <c r="C75" s="232">
        <f t="shared" ref="C75:H75" si="11">SUM(C72:C74)</f>
        <v>232295</v>
      </c>
      <c r="D75" s="232">
        <f t="shared" si="11"/>
        <v>12200</v>
      </c>
      <c r="E75" s="232">
        <f t="shared" si="11"/>
        <v>8200</v>
      </c>
      <c r="F75" s="232">
        <f t="shared" si="11"/>
        <v>8200</v>
      </c>
      <c r="G75" s="232">
        <f t="shared" ref="G75" si="12">SUM(G72:G74)</f>
        <v>8200</v>
      </c>
      <c r="H75" s="232">
        <f t="shared" si="11"/>
        <v>195495</v>
      </c>
      <c r="I75" s="233"/>
      <c r="J75" s="234"/>
      <c r="K75" s="247"/>
    </row>
    <row r="76" spans="1:11" ht="15.75" customHeight="1" thickBot="1" x14ac:dyDescent="0.25">
      <c r="A76" s="248" t="s">
        <v>684</v>
      </c>
      <c r="B76" s="249"/>
      <c r="C76" s="250">
        <f t="shared" ref="C76:H76" si="13">SUM(C75,C71,C42,C69)</f>
        <v>16845037</v>
      </c>
      <c r="D76" s="250">
        <f t="shared" si="13"/>
        <v>2678709</v>
      </c>
      <c r="E76" s="250">
        <f t="shared" si="13"/>
        <v>2778062</v>
      </c>
      <c r="F76" s="250">
        <f t="shared" si="13"/>
        <v>2913423</v>
      </c>
      <c r="G76" s="250">
        <f t="shared" ref="G76" si="14">SUM(G75,G71,G42,G69)</f>
        <v>2818840</v>
      </c>
      <c r="H76" s="250">
        <f t="shared" si="13"/>
        <v>5656003</v>
      </c>
      <c r="I76" s="251"/>
      <c r="J76" s="251"/>
      <c r="K76" s="252"/>
    </row>
    <row r="77" spans="1:11" ht="18" customHeight="1" x14ac:dyDescent="0.2">
      <c r="A77" s="635" t="s">
        <v>685</v>
      </c>
      <c r="B77" s="636"/>
      <c r="C77" s="636"/>
      <c r="D77" s="636"/>
      <c r="E77" s="636"/>
      <c r="F77" s="636"/>
      <c r="G77" s="636"/>
      <c r="H77" s="636"/>
      <c r="I77" s="636"/>
      <c r="J77" s="636"/>
      <c r="K77" s="637"/>
    </row>
    <row r="78" spans="1:11" ht="105" x14ac:dyDescent="0.2">
      <c r="A78" s="519" t="s">
        <v>686</v>
      </c>
      <c r="B78" s="520">
        <v>8018</v>
      </c>
      <c r="C78" s="337">
        <f t="shared" ref="C78:C80" si="15">SUM(D78:H78)</f>
        <v>700</v>
      </c>
      <c r="D78" s="305">
        <v>234</v>
      </c>
      <c r="E78" s="305">
        <v>233</v>
      </c>
      <c r="F78" s="521">
        <v>233</v>
      </c>
      <c r="G78" s="73">
        <v>0</v>
      </c>
      <c r="H78" s="73">
        <v>0</v>
      </c>
      <c r="I78" s="522" t="s">
        <v>687</v>
      </c>
      <c r="J78" s="520" t="s">
        <v>6</v>
      </c>
      <c r="K78" s="507" t="s">
        <v>893</v>
      </c>
    </row>
    <row r="79" spans="1:11" ht="67.5" customHeight="1" x14ac:dyDescent="0.2">
      <c r="A79" s="198" t="s">
        <v>688</v>
      </c>
      <c r="B79" s="212">
        <v>1859</v>
      </c>
      <c r="C79" s="337">
        <f t="shared" si="15"/>
        <v>5600</v>
      </c>
      <c r="D79" s="215">
        <v>4200</v>
      </c>
      <c r="E79" s="215">
        <v>1400</v>
      </c>
      <c r="F79" s="215">
        <v>0</v>
      </c>
      <c r="G79" s="213">
        <v>0</v>
      </c>
      <c r="H79" s="213">
        <v>0</v>
      </c>
      <c r="I79" s="226" t="s">
        <v>689</v>
      </c>
      <c r="J79" s="227" t="s">
        <v>690</v>
      </c>
      <c r="K79" s="253" t="s">
        <v>691</v>
      </c>
    </row>
    <row r="80" spans="1:11" ht="84.75" thickBot="1" x14ac:dyDescent="0.25">
      <c r="A80" s="206" t="s">
        <v>413</v>
      </c>
      <c r="B80" s="240">
        <v>1617</v>
      </c>
      <c r="C80" s="337">
        <f t="shared" si="15"/>
        <v>1166</v>
      </c>
      <c r="D80" s="245">
        <v>595</v>
      </c>
      <c r="E80" s="245">
        <v>571</v>
      </c>
      <c r="F80" s="245">
        <v>0</v>
      </c>
      <c r="G80" s="213">
        <v>0</v>
      </c>
      <c r="H80" s="213">
        <v>0</v>
      </c>
      <c r="I80" s="254" t="s">
        <v>692</v>
      </c>
      <c r="J80" s="255" t="s">
        <v>414</v>
      </c>
      <c r="K80" s="256" t="s">
        <v>693</v>
      </c>
    </row>
    <row r="81" spans="1:11" ht="27" customHeight="1" thickBot="1" x14ac:dyDescent="0.25">
      <c r="A81" s="257" t="s">
        <v>694</v>
      </c>
      <c r="B81" s="258"/>
      <c r="C81" s="259">
        <f t="shared" ref="C81:H81" si="16">SUM(C78:C80)</f>
        <v>7466</v>
      </c>
      <c r="D81" s="259">
        <f t="shared" si="16"/>
        <v>5029</v>
      </c>
      <c r="E81" s="259">
        <f t="shared" si="16"/>
        <v>2204</v>
      </c>
      <c r="F81" s="259">
        <f t="shared" si="16"/>
        <v>233</v>
      </c>
      <c r="G81" s="259">
        <f t="shared" ref="G81" si="17">SUM(G78:G80)</f>
        <v>0</v>
      </c>
      <c r="H81" s="259">
        <f t="shared" si="16"/>
        <v>0</v>
      </c>
      <c r="I81" s="260"/>
      <c r="J81" s="260"/>
      <c r="K81" s="261"/>
    </row>
    <row r="82" spans="1:11" ht="18" customHeight="1" x14ac:dyDescent="0.2">
      <c r="A82" s="635" t="s">
        <v>147</v>
      </c>
      <c r="B82" s="636"/>
      <c r="C82" s="636"/>
      <c r="D82" s="636"/>
      <c r="E82" s="636"/>
      <c r="F82" s="636"/>
      <c r="G82" s="636"/>
      <c r="H82" s="636"/>
      <c r="I82" s="636"/>
      <c r="J82" s="636"/>
      <c r="K82" s="637"/>
    </row>
    <row r="83" spans="1:11" ht="34.5" customHeight="1" x14ac:dyDescent="0.2">
      <c r="A83" s="206" t="s">
        <v>290</v>
      </c>
      <c r="B83" s="199" t="s">
        <v>415</v>
      </c>
      <c r="C83" s="337">
        <f t="shared" ref="C83:C84" si="18">SUM(D83:H83)</f>
        <v>59.519999999999996</v>
      </c>
      <c r="D83" s="171">
        <v>14.52</v>
      </c>
      <c r="E83" s="171">
        <v>15</v>
      </c>
      <c r="F83" s="171">
        <v>15</v>
      </c>
      <c r="G83" s="551">
        <v>15</v>
      </c>
      <c r="H83" s="73">
        <v>0</v>
      </c>
      <c r="I83" s="201" t="s">
        <v>695</v>
      </c>
      <c r="J83" s="202" t="s">
        <v>416</v>
      </c>
      <c r="K83" s="210" t="s">
        <v>291</v>
      </c>
    </row>
    <row r="84" spans="1:11" ht="57.75" customHeight="1" thickBot="1" x14ac:dyDescent="0.25">
      <c r="A84" s="206" t="s">
        <v>417</v>
      </c>
      <c r="B84" s="207" t="s">
        <v>696</v>
      </c>
      <c r="C84" s="337">
        <f t="shared" si="18"/>
        <v>40000</v>
      </c>
      <c r="D84" s="171">
        <v>20000</v>
      </c>
      <c r="E84" s="171">
        <v>20000</v>
      </c>
      <c r="F84" s="171">
        <v>0</v>
      </c>
      <c r="G84" s="551">
        <v>0</v>
      </c>
      <c r="H84" s="73">
        <v>0</v>
      </c>
      <c r="I84" s="201" t="s">
        <v>377</v>
      </c>
      <c r="J84" s="209" t="s">
        <v>697</v>
      </c>
      <c r="K84" s="210" t="s">
        <v>418</v>
      </c>
    </row>
    <row r="85" spans="1:11" ht="15.75" customHeight="1" thickBot="1" x14ac:dyDescent="0.25">
      <c r="A85" s="74" t="s">
        <v>148</v>
      </c>
      <c r="B85" s="156"/>
      <c r="C85" s="76">
        <f t="shared" ref="C85:H85" si="19">SUM(C83:C84)</f>
        <v>40059.519999999997</v>
      </c>
      <c r="D85" s="76">
        <f t="shared" si="19"/>
        <v>20014.52</v>
      </c>
      <c r="E85" s="76">
        <f t="shared" si="19"/>
        <v>20015</v>
      </c>
      <c r="F85" s="76">
        <f t="shared" si="19"/>
        <v>15</v>
      </c>
      <c r="G85" s="76">
        <f t="shared" si="19"/>
        <v>15</v>
      </c>
      <c r="H85" s="76">
        <f t="shared" si="19"/>
        <v>0</v>
      </c>
      <c r="I85" s="211"/>
      <c r="J85" s="211"/>
      <c r="K85" s="72"/>
    </row>
    <row r="86" spans="1:11" ht="18" customHeight="1" x14ac:dyDescent="0.2">
      <c r="A86" s="635" t="s">
        <v>107</v>
      </c>
      <c r="B86" s="636"/>
      <c r="C86" s="636"/>
      <c r="D86" s="636"/>
      <c r="E86" s="636"/>
      <c r="F86" s="636"/>
      <c r="G86" s="636"/>
      <c r="H86" s="636"/>
      <c r="I86" s="636"/>
      <c r="J86" s="636"/>
      <c r="K86" s="637"/>
    </row>
    <row r="87" spans="1:11" ht="78.75" customHeight="1" thickBot="1" x14ac:dyDescent="0.25">
      <c r="A87" s="262" t="s">
        <v>698</v>
      </c>
      <c r="B87" s="240" t="s">
        <v>481</v>
      </c>
      <c r="C87" s="337">
        <f t="shared" ref="C87" si="20">SUM(D87:H87)</f>
        <v>300000</v>
      </c>
      <c r="D87" s="263">
        <v>0</v>
      </c>
      <c r="E87" s="263">
        <v>0</v>
      </c>
      <c r="F87" s="263">
        <v>0</v>
      </c>
      <c r="G87" s="555">
        <v>300000</v>
      </c>
      <c r="H87" s="73">
        <v>0</v>
      </c>
      <c r="I87" s="223" t="s">
        <v>699</v>
      </c>
      <c r="J87" s="223" t="s">
        <v>700</v>
      </c>
      <c r="K87" s="264" t="s">
        <v>293</v>
      </c>
    </row>
    <row r="88" spans="1:11" ht="15.75" customHeight="1" thickBot="1" x14ac:dyDescent="0.25">
      <c r="A88" s="74" t="s">
        <v>112</v>
      </c>
      <c r="B88" s="177"/>
      <c r="C88" s="76">
        <f>SUM(C87)</f>
        <v>300000</v>
      </c>
      <c r="D88" s="76">
        <f t="shared" ref="D88:H88" si="21">SUM(D87)</f>
        <v>0</v>
      </c>
      <c r="E88" s="76">
        <f t="shared" si="21"/>
        <v>0</v>
      </c>
      <c r="F88" s="76">
        <f t="shared" si="21"/>
        <v>0</v>
      </c>
      <c r="G88" s="76">
        <f t="shared" si="21"/>
        <v>300000</v>
      </c>
      <c r="H88" s="76">
        <f t="shared" si="21"/>
        <v>0</v>
      </c>
      <c r="I88" s="172"/>
      <c r="J88" s="172"/>
      <c r="K88" s="75"/>
    </row>
    <row r="89" spans="1:11" ht="18" customHeight="1" x14ac:dyDescent="0.2">
      <c r="A89" s="625" t="s">
        <v>923</v>
      </c>
      <c r="B89" s="626"/>
      <c r="C89" s="626"/>
      <c r="D89" s="626"/>
      <c r="E89" s="626"/>
      <c r="F89" s="626"/>
      <c r="G89" s="626"/>
      <c r="H89" s="626"/>
      <c r="I89" s="626"/>
      <c r="J89" s="626"/>
      <c r="K89" s="627"/>
    </row>
    <row r="90" spans="1:11" ht="84.75" thickBot="1" x14ac:dyDescent="0.25">
      <c r="A90" s="214" t="s">
        <v>610</v>
      </c>
      <c r="B90" s="199" t="s">
        <v>611</v>
      </c>
      <c r="C90" s="337">
        <f t="shared" ref="C90" si="22">SUM(D90:H90)</f>
        <v>891</v>
      </c>
      <c r="D90" s="171">
        <v>187</v>
      </c>
      <c r="E90" s="171">
        <v>187</v>
      </c>
      <c r="F90" s="171">
        <v>187</v>
      </c>
      <c r="G90" s="551">
        <v>330</v>
      </c>
      <c r="H90" s="73">
        <v>0</v>
      </c>
      <c r="I90" s="201" t="s">
        <v>612</v>
      </c>
      <c r="J90" s="202" t="s">
        <v>613</v>
      </c>
      <c r="K90" s="203" t="s">
        <v>938</v>
      </c>
    </row>
    <row r="91" spans="1:11" ht="27" customHeight="1" thickBot="1" x14ac:dyDescent="0.25">
      <c r="A91" s="70" t="s">
        <v>924</v>
      </c>
      <c r="B91" s="177"/>
      <c r="C91" s="71">
        <f>C90</f>
        <v>891</v>
      </c>
      <c r="D91" s="71">
        <f t="shared" ref="D91:H91" si="23">SUM(D90:D90)</f>
        <v>187</v>
      </c>
      <c r="E91" s="71">
        <f t="shared" si="23"/>
        <v>187</v>
      </c>
      <c r="F91" s="71">
        <f t="shared" si="23"/>
        <v>187</v>
      </c>
      <c r="G91" s="71">
        <f t="shared" si="23"/>
        <v>330</v>
      </c>
      <c r="H91" s="71">
        <f t="shared" si="23"/>
        <v>0</v>
      </c>
      <c r="I91" s="211"/>
      <c r="J91" s="211"/>
      <c r="K91" s="72"/>
    </row>
    <row r="92" spans="1:11" ht="18" customHeight="1" x14ac:dyDescent="0.2">
      <c r="A92" s="625" t="s">
        <v>116</v>
      </c>
      <c r="B92" s="626"/>
      <c r="C92" s="626"/>
      <c r="D92" s="626"/>
      <c r="E92" s="626"/>
      <c r="F92" s="626"/>
      <c r="G92" s="626"/>
      <c r="H92" s="626"/>
      <c r="I92" s="626"/>
      <c r="J92" s="626"/>
      <c r="K92" s="627"/>
    </row>
    <row r="93" spans="1:11" ht="67.5" customHeight="1" x14ac:dyDescent="0.2">
      <c r="A93" s="198" t="s">
        <v>701</v>
      </c>
      <c r="B93" s="265">
        <v>1105</v>
      </c>
      <c r="C93" s="337">
        <f t="shared" ref="C93:C108" si="24">SUM(D93:H93)</f>
        <v>5500</v>
      </c>
      <c r="D93" s="213">
        <v>5500</v>
      </c>
      <c r="E93" s="175">
        <v>0</v>
      </c>
      <c r="F93" s="175">
        <v>0</v>
      </c>
      <c r="G93" s="175">
        <v>0</v>
      </c>
      <c r="H93" s="213">
        <v>0</v>
      </c>
      <c r="I93" s="201" t="s">
        <v>702</v>
      </c>
      <c r="J93" s="202" t="s">
        <v>703</v>
      </c>
      <c r="K93" s="203" t="s">
        <v>704</v>
      </c>
    </row>
    <row r="94" spans="1:11" ht="57" customHeight="1" x14ac:dyDescent="0.2">
      <c r="A94" s="198" t="s">
        <v>193</v>
      </c>
      <c r="B94" s="265">
        <v>1116</v>
      </c>
      <c r="C94" s="337">
        <f t="shared" si="24"/>
        <v>20000</v>
      </c>
      <c r="D94" s="213">
        <v>5000</v>
      </c>
      <c r="E94" s="175">
        <v>5000</v>
      </c>
      <c r="F94" s="175">
        <v>5000</v>
      </c>
      <c r="G94" s="83">
        <v>5000</v>
      </c>
      <c r="H94" s="73">
        <v>0</v>
      </c>
      <c r="I94" s="201" t="s">
        <v>419</v>
      </c>
      <c r="J94" s="202" t="s">
        <v>6</v>
      </c>
      <c r="K94" s="203" t="s">
        <v>420</v>
      </c>
    </row>
    <row r="95" spans="1:11" ht="57" customHeight="1" x14ac:dyDescent="0.2">
      <c r="A95" s="206" t="s">
        <v>421</v>
      </c>
      <c r="B95" s="255">
        <v>1252</v>
      </c>
      <c r="C95" s="337">
        <f t="shared" si="24"/>
        <v>396</v>
      </c>
      <c r="D95" s="171">
        <v>99</v>
      </c>
      <c r="E95" s="171">
        <v>99</v>
      </c>
      <c r="F95" s="171">
        <v>99</v>
      </c>
      <c r="G95" s="551">
        <v>99</v>
      </c>
      <c r="H95" s="73">
        <v>0</v>
      </c>
      <c r="I95" s="201" t="s">
        <v>422</v>
      </c>
      <c r="J95" s="202" t="s">
        <v>6</v>
      </c>
      <c r="K95" s="203" t="s">
        <v>297</v>
      </c>
    </row>
    <row r="96" spans="1:11" ht="67.5" customHeight="1" x14ac:dyDescent="0.2">
      <c r="A96" s="198" t="s">
        <v>192</v>
      </c>
      <c r="B96" s="265">
        <v>1139</v>
      </c>
      <c r="C96" s="337">
        <f t="shared" si="24"/>
        <v>3456</v>
      </c>
      <c r="D96" s="175">
        <v>864</v>
      </c>
      <c r="E96" s="175">
        <v>864</v>
      </c>
      <c r="F96" s="175">
        <v>864</v>
      </c>
      <c r="G96" s="83">
        <v>864</v>
      </c>
      <c r="H96" s="73">
        <v>0</v>
      </c>
      <c r="I96" s="201" t="s">
        <v>423</v>
      </c>
      <c r="J96" s="202" t="s">
        <v>6</v>
      </c>
      <c r="K96" s="203" t="s">
        <v>424</v>
      </c>
    </row>
    <row r="97" spans="1:11" ht="45" customHeight="1" x14ac:dyDescent="0.2">
      <c r="A97" s="266" t="s">
        <v>425</v>
      </c>
      <c r="B97" s="255">
        <v>1131</v>
      </c>
      <c r="C97" s="337">
        <f t="shared" si="24"/>
        <v>16000</v>
      </c>
      <c r="D97" s="171">
        <v>4000</v>
      </c>
      <c r="E97" s="171">
        <v>4000</v>
      </c>
      <c r="F97" s="171">
        <v>4000</v>
      </c>
      <c r="G97" s="551">
        <v>4000</v>
      </c>
      <c r="H97" s="73">
        <v>0</v>
      </c>
      <c r="I97" s="201" t="s">
        <v>705</v>
      </c>
      <c r="J97" s="202" t="s">
        <v>6</v>
      </c>
      <c r="K97" s="210" t="s">
        <v>426</v>
      </c>
    </row>
    <row r="98" spans="1:11" ht="34.5" customHeight="1" x14ac:dyDescent="0.2">
      <c r="A98" s="267" t="s">
        <v>706</v>
      </c>
      <c r="B98" s="212">
        <v>1730</v>
      </c>
      <c r="C98" s="337">
        <f t="shared" si="24"/>
        <v>3990</v>
      </c>
      <c r="D98" s="213">
        <v>3990</v>
      </c>
      <c r="E98" s="213">
        <v>0</v>
      </c>
      <c r="F98" s="213">
        <v>0</v>
      </c>
      <c r="G98" s="213">
        <v>0</v>
      </c>
      <c r="H98" s="213">
        <v>0</v>
      </c>
      <c r="I98" s="201" t="s">
        <v>428</v>
      </c>
      <c r="J98" s="268" t="s">
        <v>429</v>
      </c>
      <c r="K98" s="203" t="s">
        <v>707</v>
      </c>
    </row>
    <row r="99" spans="1:11" ht="45" customHeight="1" x14ac:dyDescent="0.2">
      <c r="A99" s="267" t="s">
        <v>427</v>
      </c>
      <c r="B99" s="212">
        <v>1731</v>
      </c>
      <c r="C99" s="337">
        <f t="shared" si="24"/>
        <v>100</v>
      </c>
      <c r="D99" s="213">
        <v>100</v>
      </c>
      <c r="E99" s="213">
        <v>0</v>
      </c>
      <c r="F99" s="213">
        <v>0</v>
      </c>
      <c r="G99" s="213">
        <v>0</v>
      </c>
      <c r="H99" s="213">
        <v>0</v>
      </c>
      <c r="I99" s="201" t="s">
        <v>428</v>
      </c>
      <c r="J99" s="268" t="s">
        <v>429</v>
      </c>
      <c r="K99" s="203" t="s">
        <v>430</v>
      </c>
    </row>
    <row r="100" spans="1:11" ht="45" customHeight="1" x14ac:dyDescent="0.2">
      <c r="A100" s="517" t="s">
        <v>708</v>
      </c>
      <c r="B100" s="496">
        <v>1731</v>
      </c>
      <c r="C100" s="337">
        <f t="shared" si="24"/>
        <v>96</v>
      </c>
      <c r="D100" s="73">
        <v>96</v>
      </c>
      <c r="E100" s="73">
        <v>0</v>
      </c>
      <c r="F100" s="73">
        <v>0</v>
      </c>
      <c r="G100" s="73">
        <v>0</v>
      </c>
      <c r="H100" s="73">
        <v>0</v>
      </c>
      <c r="I100" s="506" t="s">
        <v>935</v>
      </c>
      <c r="J100" s="524" t="s">
        <v>936</v>
      </c>
      <c r="K100" s="518" t="s">
        <v>771</v>
      </c>
    </row>
    <row r="101" spans="1:11" ht="57" customHeight="1" x14ac:dyDescent="0.2">
      <c r="A101" s="505" t="s">
        <v>431</v>
      </c>
      <c r="B101" s="496">
        <v>1731</v>
      </c>
      <c r="C101" s="337">
        <f t="shared" si="24"/>
        <v>416</v>
      </c>
      <c r="D101" s="73">
        <v>318</v>
      </c>
      <c r="E101" s="73">
        <v>98</v>
      </c>
      <c r="F101" s="73">
        <v>0</v>
      </c>
      <c r="G101" s="73">
        <v>0</v>
      </c>
      <c r="H101" s="73">
        <v>0</v>
      </c>
      <c r="I101" s="506" t="s">
        <v>428</v>
      </c>
      <c r="J101" s="524" t="s">
        <v>429</v>
      </c>
      <c r="K101" s="507" t="s">
        <v>770</v>
      </c>
    </row>
    <row r="102" spans="1:11" ht="34.5" customHeight="1" x14ac:dyDescent="0.2">
      <c r="A102" s="505" t="s">
        <v>709</v>
      </c>
      <c r="B102" s="496">
        <v>1731</v>
      </c>
      <c r="C102" s="337">
        <f t="shared" si="24"/>
        <v>2362</v>
      </c>
      <c r="D102" s="73">
        <v>2362</v>
      </c>
      <c r="E102" s="73">
        <v>0</v>
      </c>
      <c r="F102" s="73">
        <v>0</v>
      </c>
      <c r="G102" s="73">
        <v>0</v>
      </c>
      <c r="H102" s="73">
        <v>0</v>
      </c>
      <c r="I102" s="506" t="s">
        <v>428</v>
      </c>
      <c r="J102" s="524" t="s">
        <v>429</v>
      </c>
      <c r="K102" s="507" t="s">
        <v>769</v>
      </c>
    </row>
    <row r="103" spans="1:11" ht="24" customHeight="1" x14ac:dyDescent="0.2">
      <c r="A103" s="505" t="s">
        <v>710</v>
      </c>
      <c r="B103" s="496">
        <v>1731</v>
      </c>
      <c r="C103" s="337">
        <f t="shared" si="24"/>
        <v>3261</v>
      </c>
      <c r="D103" s="73">
        <v>0</v>
      </c>
      <c r="E103" s="73">
        <v>3261</v>
      </c>
      <c r="F103" s="73">
        <v>0</v>
      </c>
      <c r="G103" s="73">
        <v>0</v>
      </c>
      <c r="H103" s="73">
        <v>0</v>
      </c>
      <c r="I103" s="506" t="s">
        <v>428</v>
      </c>
      <c r="J103" s="524" t="s">
        <v>429</v>
      </c>
      <c r="K103" s="507" t="s">
        <v>772</v>
      </c>
    </row>
    <row r="104" spans="1:11" ht="78" customHeight="1" x14ac:dyDescent="0.2">
      <c r="A104" s="267" t="s">
        <v>432</v>
      </c>
      <c r="B104" s="212">
        <v>1733</v>
      </c>
      <c r="C104" s="337">
        <f t="shared" si="24"/>
        <v>4955</v>
      </c>
      <c r="D104" s="213">
        <v>4955</v>
      </c>
      <c r="E104" s="213">
        <v>0</v>
      </c>
      <c r="F104" s="213">
        <v>0</v>
      </c>
      <c r="G104" s="213">
        <v>0</v>
      </c>
      <c r="H104" s="213">
        <v>0</v>
      </c>
      <c r="I104" s="201" t="s">
        <v>711</v>
      </c>
      <c r="J104" s="201" t="s">
        <v>433</v>
      </c>
      <c r="K104" s="203" t="s">
        <v>434</v>
      </c>
    </row>
    <row r="105" spans="1:11" ht="78" customHeight="1" x14ac:dyDescent="0.2">
      <c r="A105" s="267" t="s">
        <v>712</v>
      </c>
      <c r="B105" s="212">
        <v>1733</v>
      </c>
      <c r="C105" s="337">
        <f t="shared" si="24"/>
        <v>3915</v>
      </c>
      <c r="D105" s="213">
        <v>0</v>
      </c>
      <c r="E105" s="213">
        <v>3915</v>
      </c>
      <c r="F105" s="213">
        <v>0</v>
      </c>
      <c r="G105" s="213">
        <v>0</v>
      </c>
      <c r="H105" s="213">
        <v>0</v>
      </c>
      <c r="I105" s="201" t="s">
        <v>711</v>
      </c>
      <c r="J105" s="201" t="s">
        <v>713</v>
      </c>
      <c r="K105" s="203" t="s">
        <v>714</v>
      </c>
    </row>
    <row r="106" spans="1:11" s="508" customFormat="1" ht="24" customHeight="1" x14ac:dyDescent="0.2">
      <c r="A106" s="505" t="s">
        <v>715</v>
      </c>
      <c r="B106" s="496">
        <v>1738</v>
      </c>
      <c r="C106" s="337">
        <f t="shared" si="24"/>
        <v>2434</v>
      </c>
      <c r="D106" s="73">
        <v>2434</v>
      </c>
      <c r="E106" s="73">
        <v>0</v>
      </c>
      <c r="F106" s="73">
        <v>0</v>
      </c>
      <c r="G106" s="73">
        <v>0</v>
      </c>
      <c r="H106" s="73">
        <v>0</v>
      </c>
      <c r="I106" s="506" t="s">
        <v>716</v>
      </c>
      <c r="J106" s="506" t="s">
        <v>429</v>
      </c>
      <c r="K106" s="507" t="s">
        <v>773</v>
      </c>
    </row>
    <row r="107" spans="1:11" s="508" customFormat="1" ht="24" customHeight="1" x14ac:dyDescent="0.2">
      <c r="A107" s="505" t="s">
        <v>717</v>
      </c>
      <c r="B107" s="496">
        <v>1735</v>
      </c>
      <c r="C107" s="337">
        <f t="shared" si="24"/>
        <v>1664</v>
      </c>
      <c r="D107" s="73">
        <f>2000-336</f>
        <v>1664</v>
      </c>
      <c r="E107" s="73">
        <v>0</v>
      </c>
      <c r="F107" s="73">
        <v>0</v>
      </c>
      <c r="G107" s="73">
        <v>0</v>
      </c>
      <c r="H107" s="73">
        <v>0</v>
      </c>
      <c r="I107" s="506" t="s">
        <v>716</v>
      </c>
      <c r="J107" s="506" t="s">
        <v>429</v>
      </c>
      <c r="K107" s="507" t="s">
        <v>773</v>
      </c>
    </row>
    <row r="108" spans="1:11" ht="24.75" customHeight="1" thickBot="1" x14ac:dyDescent="0.25">
      <c r="A108" s="267" t="s">
        <v>718</v>
      </c>
      <c r="B108" s="212">
        <v>1739</v>
      </c>
      <c r="C108" s="337">
        <f t="shared" si="24"/>
        <v>1651</v>
      </c>
      <c r="D108" s="213">
        <v>1651</v>
      </c>
      <c r="E108" s="213">
        <v>0</v>
      </c>
      <c r="F108" s="213">
        <v>0</v>
      </c>
      <c r="G108" s="213">
        <v>0</v>
      </c>
      <c r="H108" s="213">
        <v>0</v>
      </c>
      <c r="I108" s="201" t="s">
        <v>428</v>
      </c>
      <c r="J108" s="201" t="s">
        <v>429</v>
      </c>
      <c r="K108" s="203" t="s">
        <v>719</v>
      </c>
    </row>
    <row r="109" spans="1:11" ht="27" customHeight="1" thickBot="1" x14ac:dyDescent="0.25">
      <c r="A109" s="74" t="s">
        <v>117</v>
      </c>
      <c r="B109" s="156"/>
      <c r="C109" s="76">
        <f t="shared" ref="C109:H109" si="25">SUM(C93:C108)</f>
        <v>70196</v>
      </c>
      <c r="D109" s="76">
        <f t="shared" si="25"/>
        <v>33033</v>
      </c>
      <c r="E109" s="76">
        <f t="shared" si="25"/>
        <v>17237</v>
      </c>
      <c r="F109" s="76">
        <f t="shared" si="25"/>
        <v>9963</v>
      </c>
      <c r="G109" s="76">
        <f t="shared" si="25"/>
        <v>9963</v>
      </c>
      <c r="H109" s="76">
        <f t="shared" si="25"/>
        <v>0</v>
      </c>
      <c r="I109" s="211"/>
      <c r="J109" s="211"/>
      <c r="K109" s="72"/>
    </row>
    <row r="110" spans="1:11" ht="18" customHeight="1" x14ac:dyDescent="0.2">
      <c r="A110" s="269" t="s">
        <v>113</v>
      </c>
      <c r="B110" s="296"/>
      <c r="C110" s="296"/>
      <c r="D110" s="296"/>
      <c r="E110" s="296"/>
      <c r="F110" s="296"/>
      <c r="G110" s="296"/>
      <c r="H110" s="296"/>
      <c r="I110" s="297"/>
      <c r="J110" s="297"/>
      <c r="K110" s="270"/>
    </row>
    <row r="111" spans="1:11" ht="78" customHeight="1" x14ac:dyDescent="0.2">
      <c r="A111" s="271" t="s">
        <v>194</v>
      </c>
      <c r="B111" s="272">
        <v>1124</v>
      </c>
      <c r="C111" s="337">
        <f t="shared" ref="C111:C116" si="26">SUM(D111:H111)</f>
        <v>1000</v>
      </c>
      <c r="D111" s="213">
        <v>500</v>
      </c>
      <c r="E111" s="213">
        <v>500</v>
      </c>
      <c r="F111" s="213">
        <v>0</v>
      </c>
      <c r="G111" s="213">
        <v>0</v>
      </c>
      <c r="H111" s="213">
        <v>0</v>
      </c>
      <c r="I111" s="201" t="s">
        <v>720</v>
      </c>
      <c r="J111" s="201" t="s">
        <v>932</v>
      </c>
      <c r="K111" s="203" t="s">
        <v>435</v>
      </c>
    </row>
    <row r="112" spans="1:11" ht="67.5" customHeight="1" x14ac:dyDescent="0.2">
      <c r="A112" s="271" t="s">
        <v>195</v>
      </c>
      <c r="B112" s="272">
        <v>1128</v>
      </c>
      <c r="C112" s="337">
        <f t="shared" si="26"/>
        <v>560</v>
      </c>
      <c r="D112" s="213">
        <v>140</v>
      </c>
      <c r="E112" s="213">
        <v>140</v>
      </c>
      <c r="F112" s="213">
        <v>140</v>
      </c>
      <c r="G112" s="73">
        <v>140</v>
      </c>
      <c r="H112" s="73">
        <v>0</v>
      </c>
      <c r="I112" s="201" t="s">
        <v>721</v>
      </c>
      <c r="J112" s="201" t="s">
        <v>6</v>
      </c>
      <c r="K112" s="203" t="s">
        <v>292</v>
      </c>
    </row>
    <row r="113" spans="1:11" ht="34.5" customHeight="1" x14ac:dyDescent="0.2">
      <c r="A113" s="262" t="s">
        <v>722</v>
      </c>
      <c r="B113" s="240">
        <v>1101</v>
      </c>
      <c r="C113" s="337">
        <f t="shared" si="26"/>
        <v>66</v>
      </c>
      <c r="D113" s="263">
        <v>66</v>
      </c>
      <c r="E113" s="213">
        <v>0</v>
      </c>
      <c r="F113" s="213">
        <v>0</v>
      </c>
      <c r="G113" s="213">
        <v>0</v>
      </c>
      <c r="H113" s="213">
        <v>0</v>
      </c>
      <c r="I113" s="201" t="s">
        <v>723</v>
      </c>
      <c r="J113" s="201" t="s">
        <v>724</v>
      </c>
      <c r="K113" s="210" t="s">
        <v>725</v>
      </c>
    </row>
    <row r="114" spans="1:11" ht="45" customHeight="1" x14ac:dyDescent="0.2">
      <c r="A114" s="271" t="s">
        <v>726</v>
      </c>
      <c r="B114" s="212">
        <v>1101</v>
      </c>
      <c r="C114" s="337">
        <f t="shared" si="26"/>
        <v>125</v>
      </c>
      <c r="D114" s="213">
        <v>125</v>
      </c>
      <c r="E114" s="213">
        <v>0</v>
      </c>
      <c r="F114" s="213">
        <v>0</v>
      </c>
      <c r="G114" s="213">
        <v>0</v>
      </c>
      <c r="H114" s="213">
        <v>0</v>
      </c>
      <c r="I114" s="201" t="s">
        <v>727</v>
      </c>
      <c r="J114" s="201" t="s">
        <v>728</v>
      </c>
      <c r="K114" s="203" t="s">
        <v>725</v>
      </c>
    </row>
    <row r="115" spans="1:11" ht="24" customHeight="1" x14ac:dyDescent="0.2">
      <c r="A115" s="267" t="s">
        <v>436</v>
      </c>
      <c r="B115" s="212">
        <v>1740</v>
      </c>
      <c r="C115" s="337">
        <f t="shared" si="26"/>
        <v>1332</v>
      </c>
      <c r="D115" s="213">
        <v>1332</v>
      </c>
      <c r="E115" s="213">
        <v>0</v>
      </c>
      <c r="F115" s="213">
        <v>0</v>
      </c>
      <c r="G115" s="213">
        <v>0</v>
      </c>
      <c r="H115" s="213">
        <v>0</v>
      </c>
      <c r="I115" s="201" t="s">
        <v>437</v>
      </c>
      <c r="J115" s="268" t="s">
        <v>429</v>
      </c>
      <c r="K115" s="203" t="s">
        <v>729</v>
      </c>
    </row>
    <row r="116" spans="1:11" ht="53.25" thickBot="1" x14ac:dyDescent="0.25">
      <c r="A116" s="262" t="s">
        <v>730</v>
      </c>
      <c r="B116" s="240">
        <v>1744</v>
      </c>
      <c r="C116" s="337">
        <f t="shared" si="26"/>
        <v>1703</v>
      </c>
      <c r="D116" s="263">
        <v>1703</v>
      </c>
      <c r="E116" s="263">
        <v>0</v>
      </c>
      <c r="F116" s="263">
        <v>0</v>
      </c>
      <c r="G116" s="263">
        <v>0</v>
      </c>
      <c r="H116" s="263">
        <v>0</v>
      </c>
      <c r="I116" s="223" t="s">
        <v>438</v>
      </c>
      <c r="J116" s="223" t="s">
        <v>429</v>
      </c>
      <c r="K116" s="210" t="s">
        <v>731</v>
      </c>
    </row>
    <row r="117" spans="1:11" ht="15.75" customHeight="1" thickBot="1" x14ac:dyDescent="0.25">
      <c r="A117" s="70" t="s">
        <v>115</v>
      </c>
      <c r="B117" s="71"/>
      <c r="C117" s="71">
        <f t="shared" ref="C117:H117" si="27">SUM(C111:C116)</f>
        <v>4786</v>
      </c>
      <c r="D117" s="71">
        <f t="shared" si="27"/>
        <v>3866</v>
      </c>
      <c r="E117" s="71">
        <f t="shared" si="27"/>
        <v>640</v>
      </c>
      <c r="F117" s="71">
        <f t="shared" si="27"/>
        <v>140</v>
      </c>
      <c r="G117" s="71">
        <f t="shared" ref="G117" si="28">SUM(G111:G116)</f>
        <v>140</v>
      </c>
      <c r="H117" s="71">
        <f t="shared" si="27"/>
        <v>0</v>
      </c>
      <c r="I117" s="211"/>
      <c r="J117" s="211"/>
      <c r="K117" s="72"/>
    </row>
    <row r="118" spans="1:11" ht="18" customHeight="1" x14ac:dyDescent="0.2">
      <c r="A118" s="273" t="s">
        <v>125</v>
      </c>
      <c r="B118" s="274"/>
      <c r="C118" s="274"/>
      <c r="D118" s="274"/>
      <c r="E118" s="274"/>
      <c r="F118" s="274"/>
      <c r="G118" s="274"/>
      <c r="H118" s="274"/>
      <c r="I118" s="275"/>
      <c r="J118" s="275"/>
      <c r="K118" s="276"/>
    </row>
    <row r="119" spans="1:11" ht="45" customHeight="1" x14ac:dyDescent="0.2">
      <c r="A119" s="198" t="s">
        <v>439</v>
      </c>
      <c r="B119" s="212">
        <v>1308</v>
      </c>
      <c r="C119" s="337">
        <f t="shared" ref="C119:C124" si="29">SUM(D119:H119)</f>
        <v>290.5</v>
      </c>
      <c r="D119" s="213">
        <v>290.5</v>
      </c>
      <c r="E119" s="213">
        <v>0</v>
      </c>
      <c r="F119" s="213">
        <v>0</v>
      </c>
      <c r="G119" s="213">
        <v>0</v>
      </c>
      <c r="H119" s="213">
        <v>0</v>
      </c>
      <c r="I119" s="241" t="s">
        <v>440</v>
      </c>
      <c r="J119" s="205" t="s">
        <v>441</v>
      </c>
      <c r="K119" s="217" t="s">
        <v>442</v>
      </c>
    </row>
    <row r="120" spans="1:11" ht="67.5" customHeight="1" x14ac:dyDescent="0.2">
      <c r="A120" s="198" t="s">
        <v>732</v>
      </c>
      <c r="B120" s="212">
        <v>1306</v>
      </c>
      <c r="C120" s="337">
        <f t="shared" si="29"/>
        <v>2700</v>
      </c>
      <c r="D120" s="213">
        <v>2700</v>
      </c>
      <c r="E120" s="213">
        <v>0</v>
      </c>
      <c r="F120" s="213">
        <v>0</v>
      </c>
      <c r="G120" s="213">
        <v>0</v>
      </c>
      <c r="H120" s="213">
        <v>0</v>
      </c>
      <c r="I120" s="226" t="s">
        <v>6</v>
      </c>
      <c r="J120" s="212" t="s">
        <v>6</v>
      </c>
      <c r="K120" s="277" t="s">
        <v>733</v>
      </c>
    </row>
    <row r="121" spans="1:11" ht="103.5" customHeight="1" x14ac:dyDescent="0.2">
      <c r="A121" s="495" t="s">
        <v>734</v>
      </c>
      <c r="B121" s="496">
        <v>1315</v>
      </c>
      <c r="C121" s="337">
        <f>SUM(D121:H121)</f>
        <v>80000</v>
      </c>
      <c r="D121" s="73">
        <v>30000</v>
      </c>
      <c r="E121" s="73">
        <v>30000</v>
      </c>
      <c r="F121" s="73">
        <v>20000</v>
      </c>
      <c r="G121" s="213">
        <v>0</v>
      </c>
      <c r="H121" s="213">
        <v>0</v>
      </c>
      <c r="I121" s="515" t="s">
        <v>735</v>
      </c>
      <c r="J121" s="496" t="s">
        <v>736</v>
      </c>
      <c r="K121" s="471" t="s">
        <v>768</v>
      </c>
    </row>
    <row r="122" spans="1:11" ht="95.25" customHeight="1" x14ac:dyDescent="0.2">
      <c r="A122" s="198" t="s">
        <v>737</v>
      </c>
      <c r="B122" s="212">
        <v>1316</v>
      </c>
      <c r="C122" s="337">
        <f t="shared" si="29"/>
        <v>7500</v>
      </c>
      <c r="D122" s="213">
        <v>1500</v>
      </c>
      <c r="E122" s="213">
        <v>1500</v>
      </c>
      <c r="F122" s="213">
        <v>1500</v>
      </c>
      <c r="G122" s="73">
        <v>1500</v>
      </c>
      <c r="H122" s="73">
        <v>1500</v>
      </c>
      <c r="I122" s="278" t="s">
        <v>738</v>
      </c>
      <c r="J122" s="212" t="s">
        <v>739</v>
      </c>
      <c r="K122" s="217" t="s">
        <v>740</v>
      </c>
    </row>
    <row r="123" spans="1:11" ht="42" x14ac:dyDescent="0.2">
      <c r="A123" s="495" t="s">
        <v>886</v>
      </c>
      <c r="B123" s="496"/>
      <c r="C123" s="337">
        <f t="shared" si="29"/>
        <v>30000</v>
      </c>
      <c r="D123" s="73">
        <v>5000</v>
      </c>
      <c r="E123" s="73">
        <v>10000</v>
      </c>
      <c r="F123" s="73">
        <v>15000</v>
      </c>
      <c r="G123" s="213">
        <v>0</v>
      </c>
      <c r="H123" s="213">
        <v>0</v>
      </c>
      <c r="I123" s="515" t="s">
        <v>6</v>
      </c>
      <c r="J123" s="496" t="s">
        <v>6</v>
      </c>
      <c r="K123" s="507" t="s">
        <v>774</v>
      </c>
    </row>
    <row r="124" spans="1:11" ht="45.75" customHeight="1" thickBot="1" x14ac:dyDescent="0.25">
      <c r="A124" s="198" t="s">
        <v>294</v>
      </c>
      <c r="B124" s="199" t="s">
        <v>443</v>
      </c>
      <c r="C124" s="337">
        <f t="shared" si="29"/>
        <v>7100</v>
      </c>
      <c r="D124" s="213">
        <v>7100</v>
      </c>
      <c r="E124" s="213">
        <v>0</v>
      </c>
      <c r="F124" s="213">
        <v>0</v>
      </c>
      <c r="G124" s="213">
        <v>0</v>
      </c>
      <c r="H124" s="213">
        <v>0</v>
      </c>
      <c r="I124" s="201" t="s">
        <v>741</v>
      </c>
      <c r="J124" s="201" t="s">
        <v>742</v>
      </c>
      <c r="K124" s="253" t="s">
        <v>743</v>
      </c>
    </row>
    <row r="125" spans="1:11" ht="15.75" customHeight="1" thickBot="1" x14ac:dyDescent="0.25">
      <c r="A125" s="74" t="s">
        <v>126</v>
      </c>
      <c r="B125" s="71"/>
      <c r="C125" s="71">
        <f t="shared" ref="C125:H125" si="30">SUM(C119:C124)</f>
        <v>127590.5</v>
      </c>
      <c r="D125" s="71">
        <f t="shared" si="30"/>
        <v>46590.5</v>
      </c>
      <c r="E125" s="71">
        <f t="shared" si="30"/>
        <v>41500</v>
      </c>
      <c r="F125" s="71">
        <f t="shared" si="30"/>
        <v>36500</v>
      </c>
      <c r="G125" s="71">
        <f t="shared" ref="G125" si="31">SUM(G119:G124)</f>
        <v>1500</v>
      </c>
      <c r="H125" s="71">
        <f t="shared" si="30"/>
        <v>1500</v>
      </c>
      <c r="I125" s="211"/>
      <c r="J125" s="211"/>
      <c r="K125" s="72"/>
    </row>
    <row r="126" spans="1:11" ht="18" customHeight="1" x14ac:dyDescent="0.2">
      <c r="A126" s="638" t="s">
        <v>455</v>
      </c>
      <c r="B126" s="639"/>
      <c r="C126" s="639"/>
      <c r="D126" s="639"/>
      <c r="E126" s="639"/>
      <c r="F126" s="639"/>
      <c r="G126" s="639"/>
      <c r="H126" s="639"/>
      <c r="I126" s="639"/>
      <c r="J126" s="639"/>
      <c r="K126" s="640"/>
    </row>
    <row r="127" spans="1:11" ht="34.5" customHeight="1" thickBot="1" x14ac:dyDescent="0.25">
      <c r="A127" s="282" t="s">
        <v>760</v>
      </c>
      <c r="B127" s="240">
        <v>1019</v>
      </c>
      <c r="C127" s="337">
        <f t="shared" ref="C127" si="32">SUM(D127:H127)</f>
        <v>83</v>
      </c>
      <c r="D127" s="213">
        <v>83</v>
      </c>
      <c r="E127" s="213">
        <v>0</v>
      </c>
      <c r="F127" s="213">
        <v>0</v>
      </c>
      <c r="G127" s="213">
        <v>0</v>
      </c>
      <c r="H127" s="213">
        <v>0</v>
      </c>
      <c r="I127" s="287" t="s">
        <v>761</v>
      </c>
      <c r="J127" s="223" t="s">
        <v>762</v>
      </c>
      <c r="K127" s="210" t="s">
        <v>937</v>
      </c>
    </row>
    <row r="128" spans="1:11" ht="27" customHeight="1" thickBot="1" x14ac:dyDescent="0.25">
      <c r="A128" s="74" t="s">
        <v>763</v>
      </c>
      <c r="B128" s="156"/>
      <c r="C128" s="71">
        <f t="shared" ref="C128:H128" si="33">SUM(C127:C127)</f>
        <v>83</v>
      </c>
      <c r="D128" s="71">
        <f t="shared" si="33"/>
        <v>83</v>
      </c>
      <c r="E128" s="71">
        <f t="shared" si="33"/>
        <v>0</v>
      </c>
      <c r="F128" s="71">
        <f t="shared" si="33"/>
        <v>0</v>
      </c>
      <c r="G128" s="71">
        <f t="shared" si="33"/>
        <v>0</v>
      </c>
      <c r="H128" s="71">
        <f t="shared" si="33"/>
        <v>0</v>
      </c>
      <c r="I128" s="211"/>
      <c r="J128" s="211"/>
      <c r="K128" s="72"/>
    </row>
    <row r="129" spans="1:11" ht="18" customHeight="1" x14ac:dyDescent="0.2">
      <c r="A129" s="273" t="s">
        <v>127</v>
      </c>
      <c r="B129" s="274"/>
      <c r="C129" s="274"/>
      <c r="D129" s="274"/>
      <c r="E129" s="274"/>
      <c r="F129" s="274"/>
      <c r="G129" s="274"/>
      <c r="H129" s="274"/>
      <c r="I129" s="279"/>
      <c r="J129" s="279"/>
      <c r="K129" s="280"/>
    </row>
    <row r="130" spans="1:11" ht="45" customHeight="1" x14ac:dyDescent="0.2">
      <c r="A130" s="214" t="s">
        <v>183</v>
      </c>
      <c r="B130" s="212" t="s">
        <v>481</v>
      </c>
      <c r="C130" s="337">
        <f t="shared" ref="C130:C137" si="34">SUM(D130:H130)</f>
        <v>31000</v>
      </c>
      <c r="D130" s="281">
        <v>0</v>
      </c>
      <c r="E130" s="281">
        <v>0</v>
      </c>
      <c r="F130" s="281">
        <v>0</v>
      </c>
      <c r="G130" s="556">
        <v>0</v>
      </c>
      <c r="H130" s="73">
        <v>31000</v>
      </c>
      <c r="I130" s="218" t="s">
        <v>444</v>
      </c>
      <c r="J130" s="218" t="s">
        <v>445</v>
      </c>
      <c r="K130" s="253" t="s">
        <v>196</v>
      </c>
    </row>
    <row r="131" spans="1:11" ht="57" customHeight="1" x14ac:dyDescent="0.2">
      <c r="A131" s="214" t="s">
        <v>184</v>
      </c>
      <c r="B131" s="212" t="s">
        <v>481</v>
      </c>
      <c r="C131" s="337">
        <f t="shared" si="34"/>
        <v>9800</v>
      </c>
      <c r="D131" s="281">
        <v>0</v>
      </c>
      <c r="E131" s="281">
        <v>0</v>
      </c>
      <c r="F131" s="281">
        <v>0</v>
      </c>
      <c r="G131" s="556">
        <v>0</v>
      </c>
      <c r="H131" s="73">
        <v>9800</v>
      </c>
      <c r="I131" s="218" t="s">
        <v>444</v>
      </c>
      <c r="J131" s="218" t="s">
        <v>445</v>
      </c>
      <c r="K131" s="253" t="s">
        <v>446</v>
      </c>
    </row>
    <row r="132" spans="1:11" ht="34.5" customHeight="1" x14ac:dyDescent="0.2">
      <c r="A132" s="206" t="s">
        <v>447</v>
      </c>
      <c r="B132" s="240">
        <v>904</v>
      </c>
      <c r="C132" s="337">
        <f t="shared" si="34"/>
        <v>800</v>
      </c>
      <c r="D132" s="263">
        <v>200</v>
      </c>
      <c r="E132" s="263">
        <v>200</v>
      </c>
      <c r="F132" s="281">
        <v>200</v>
      </c>
      <c r="G132" s="556">
        <v>200</v>
      </c>
      <c r="H132" s="73">
        <v>0</v>
      </c>
      <c r="I132" s="218" t="s">
        <v>448</v>
      </c>
      <c r="J132" s="222" t="s">
        <v>449</v>
      </c>
      <c r="K132" s="246" t="s">
        <v>450</v>
      </c>
    </row>
    <row r="133" spans="1:11" ht="78" customHeight="1" x14ac:dyDescent="0.2">
      <c r="A133" s="198" t="s">
        <v>464</v>
      </c>
      <c r="B133" s="212">
        <v>919</v>
      </c>
      <c r="C133" s="337">
        <f t="shared" si="34"/>
        <v>10000</v>
      </c>
      <c r="D133" s="213">
        <v>10000</v>
      </c>
      <c r="E133" s="213">
        <v>0</v>
      </c>
      <c r="F133" s="281">
        <v>0</v>
      </c>
      <c r="G133" s="213">
        <v>0</v>
      </c>
      <c r="H133" s="213">
        <v>0</v>
      </c>
      <c r="I133" s="218" t="s">
        <v>744</v>
      </c>
      <c r="J133" s="218" t="s">
        <v>745</v>
      </c>
      <c r="K133" s="253" t="s">
        <v>451</v>
      </c>
    </row>
    <row r="134" spans="1:11" ht="45" customHeight="1" x14ac:dyDescent="0.2">
      <c r="A134" s="198" t="s">
        <v>295</v>
      </c>
      <c r="B134" s="199" t="s">
        <v>452</v>
      </c>
      <c r="C134" s="337">
        <f t="shared" si="34"/>
        <v>8679</v>
      </c>
      <c r="D134" s="213">
        <v>2893</v>
      </c>
      <c r="E134" s="213">
        <v>2893</v>
      </c>
      <c r="F134" s="213">
        <v>2893</v>
      </c>
      <c r="G134" s="213">
        <v>0</v>
      </c>
      <c r="H134" s="213">
        <v>0</v>
      </c>
      <c r="I134" s="201" t="s">
        <v>746</v>
      </c>
      <c r="J134" s="201" t="s">
        <v>453</v>
      </c>
      <c r="K134" s="253" t="s">
        <v>747</v>
      </c>
    </row>
    <row r="135" spans="1:11" ht="57" customHeight="1" x14ac:dyDescent="0.2">
      <c r="A135" s="198" t="s">
        <v>748</v>
      </c>
      <c r="B135" s="207" t="s">
        <v>481</v>
      </c>
      <c r="C135" s="337">
        <f t="shared" si="34"/>
        <v>700</v>
      </c>
      <c r="D135" s="213">
        <v>350</v>
      </c>
      <c r="E135" s="213">
        <v>350</v>
      </c>
      <c r="F135" s="213">
        <v>0</v>
      </c>
      <c r="G135" s="213">
        <v>0</v>
      </c>
      <c r="H135" s="213">
        <v>0</v>
      </c>
      <c r="I135" s="201" t="s">
        <v>749</v>
      </c>
      <c r="J135" s="201" t="s">
        <v>6</v>
      </c>
      <c r="K135" s="253" t="s">
        <v>939</v>
      </c>
    </row>
    <row r="136" spans="1:11" ht="57" customHeight="1" x14ac:dyDescent="0.2">
      <c r="A136" s="198" t="s">
        <v>750</v>
      </c>
      <c r="B136" s="199" t="s">
        <v>751</v>
      </c>
      <c r="C136" s="337">
        <f t="shared" si="34"/>
        <v>18000</v>
      </c>
      <c r="D136" s="213">
        <v>9000</v>
      </c>
      <c r="E136" s="213">
        <v>9000</v>
      </c>
      <c r="F136" s="213">
        <v>0</v>
      </c>
      <c r="G136" s="213">
        <v>0</v>
      </c>
      <c r="H136" s="213">
        <v>0</v>
      </c>
      <c r="I136" s="201" t="s">
        <v>752</v>
      </c>
      <c r="J136" s="218" t="s">
        <v>753</v>
      </c>
      <c r="K136" s="253" t="s">
        <v>888</v>
      </c>
    </row>
    <row r="137" spans="1:11" ht="57" customHeight="1" thickBot="1" x14ac:dyDescent="0.25">
      <c r="A137" s="283" t="s">
        <v>754</v>
      </c>
      <c r="B137" s="284" t="s">
        <v>755</v>
      </c>
      <c r="C137" s="337">
        <f t="shared" si="34"/>
        <v>22000</v>
      </c>
      <c r="D137" s="285">
        <v>11000</v>
      </c>
      <c r="E137" s="285">
        <v>11000</v>
      </c>
      <c r="F137" s="285">
        <v>0</v>
      </c>
      <c r="G137" s="213">
        <v>0</v>
      </c>
      <c r="H137" s="213">
        <v>0</v>
      </c>
      <c r="I137" s="201" t="s">
        <v>6</v>
      </c>
      <c r="J137" s="222" t="s">
        <v>6</v>
      </c>
      <c r="K137" s="286" t="s">
        <v>756</v>
      </c>
    </row>
    <row r="138" spans="1:11" ht="15.75" customHeight="1" thickBot="1" x14ac:dyDescent="0.25">
      <c r="A138" s="70" t="s">
        <v>128</v>
      </c>
      <c r="B138" s="177"/>
      <c r="C138" s="71">
        <f>SUM(C130:C137)</f>
        <v>100979</v>
      </c>
      <c r="D138" s="71">
        <f t="shared" ref="D138:H138" si="35">SUM(D130:D137)</f>
        <v>33443</v>
      </c>
      <c r="E138" s="71">
        <f t="shared" si="35"/>
        <v>23443</v>
      </c>
      <c r="F138" s="71">
        <f t="shared" si="35"/>
        <v>3093</v>
      </c>
      <c r="G138" s="71">
        <f t="shared" ref="G138" si="36">SUM(G130:G137)</f>
        <v>200</v>
      </c>
      <c r="H138" s="71">
        <f t="shared" si="35"/>
        <v>40800</v>
      </c>
      <c r="I138" s="211"/>
      <c r="J138" s="211"/>
      <c r="K138" s="72"/>
    </row>
    <row r="139" spans="1:11" ht="18" customHeight="1" x14ac:dyDescent="0.2">
      <c r="A139" s="638" t="s">
        <v>160</v>
      </c>
      <c r="B139" s="639"/>
      <c r="C139" s="639"/>
      <c r="D139" s="639"/>
      <c r="E139" s="639"/>
      <c r="F139" s="639"/>
      <c r="G139" s="639"/>
      <c r="H139" s="639"/>
      <c r="I139" s="639"/>
      <c r="J139" s="639"/>
      <c r="K139" s="640"/>
    </row>
    <row r="140" spans="1:11" ht="78" customHeight="1" x14ac:dyDescent="0.2">
      <c r="A140" s="214" t="s">
        <v>185</v>
      </c>
      <c r="B140" s="212">
        <v>1218</v>
      </c>
      <c r="C140" s="337">
        <f t="shared" ref="C140:C141" si="37">SUM(D140:H140)</f>
        <v>16000</v>
      </c>
      <c r="D140" s="213">
        <v>4000</v>
      </c>
      <c r="E140" s="213">
        <v>4000</v>
      </c>
      <c r="F140" s="213">
        <v>4000</v>
      </c>
      <c r="G140" s="73">
        <v>4000</v>
      </c>
      <c r="H140" s="73">
        <v>0</v>
      </c>
      <c r="I140" s="201" t="s">
        <v>454</v>
      </c>
      <c r="J140" s="201" t="s">
        <v>429</v>
      </c>
      <c r="K140" s="253" t="s">
        <v>296</v>
      </c>
    </row>
    <row r="141" spans="1:11" ht="35.25" customHeight="1" thickBot="1" x14ac:dyDescent="0.25">
      <c r="A141" s="536" t="s">
        <v>757</v>
      </c>
      <c r="B141" s="240">
        <v>1787</v>
      </c>
      <c r="C141" s="337">
        <f t="shared" si="37"/>
        <v>25750</v>
      </c>
      <c r="D141" s="263">
        <v>21000</v>
      </c>
      <c r="E141" s="263">
        <v>4750</v>
      </c>
      <c r="F141" s="263">
        <v>0</v>
      </c>
      <c r="G141" s="555">
        <v>0</v>
      </c>
      <c r="H141" s="555">
        <v>0</v>
      </c>
      <c r="I141" s="223" t="s">
        <v>758</v>
      </c>
      <c r="J141" s="223" t="s">
        <v>429</v>
      </c>
      <c r="K141" s="246" t="s">
        <v>759</v>
      </c>
    </row>
    <row r="142" spans="1:11" ht="27" customHeight="1" thickBot="1" x14ac:dyDescent="0.25">
      <c r="A142" s="74" t="s">
        <v>133</v>
      </c>
      <c r="B142" s="156"/>
      <c r="C142" s="71">
        <f t="shared" ref="C142:H142" si="38">SUM(C140:C141)</f>
        <v>41750</v>
      </c>
      <c r="D142" s="71">
        <f t="shared" si="38"/>
        <v>25000</v>
      </c>
      <c r="E142" s="71">
        <f t="shared" si="38"/>
        <v>8750</v>
      </c>
      <c r="F142" s="71">
        <f t="shared" si="38"/>
        <v>4000</v>
      </c>
      <c r="G142" s="71">
        <f t="shared" si="38"/>
        <v>4000</v>
      </c>
      <c r="H142" s="71">
        <f t="shared" si="38"/>
        <v>0</v>
      </c>
      <c r="I142" s="211"/>
      <c r="J142" s="211"/>
      <c r="K142" s="72"/>
    </row>
    <row r="143" spans="1:11" ht="36" customHeight="1" thickBot="1" x14ac:dyDescent="0.25">
      <c r="A143" s="179"/>
      <c r="B143" s="288"/>
      <c r="C143" s="289"/>
      <c r="D143" s="289"/>
      <c r="E143" s="289"/>
      <c r="F143" s="289"/>
      <c r="G143" s="289"/>
      <c r="H143" s="289"/>
      <c r="I143" s="290"/>
      <c r="J143" s="290"/>
      <c r="K143" s="180"/>
    </row>
    <row r="144" spans="1:11" ht="15.75" customHeight="1" x14ac:dyDescent="0.2">
      <c r="A144" s="595" t="s">
        <v>142</v>
      </c>
      <c r="B144" s="612" t="s">
        <v>143</v>
      </c>
      <c r="C144" s="597" t="s">
        <v>144</v>
      </c>
      <c r="D144" s="599" t="s">
        <v>187</v>
      </c>
      <c r="E144" s="600"/>
      <c r="F144" s="601"/>
      <c r="G144" s="601"/>
      <c r="H144" s="602"/>
      <c r="I144" s="629" t="s">
        <v>349</v>
      </c>
      <c r="J144" s="631" t="s">
        <v>350</v>
      </c>
      <c r="K144" s="633" t="s">
        <v>931</v>
      </c>
    </row>
    <row r="145" spans="1:11" ht="15.75" customHeight="1" thickBot="1" x14ac:dyDescent="0.25">
      <c r="A145" s="596"/>
      <c r="B145" s="628"/>
      <c r="C145" s="598"/>
      <c r="D145" s="62" t="s">
        <v>255</v>
      </c>
      <c r="E145" s="62" t="s">
        <v>309</v>
      </c>
      <c r="F145" s="62" t="s">
        <v>456</v>
      </c>
      <c r="G145" s="62" t="s">
        <v>468</v>
      </c>
      <c r="H145" s="62" t="s">
        <v>528</v>
      </c>
      <c r="I145" s="630"/>
      <c r="J145" s="632"/>
      <c r="K145" s="634"/>
    </row>
    <row r="146" spans="1:11" ht="18" customHeight="1" x14ac:dyDescent="0.2">
      <c r="A146" s="625" t="s">
        <v>764</v>
      </c>
      <c r="B146" s="626"/>
      <c r="C146" s="626"/>
      <c r="D146" s="626"/>
      <c r="E146" s="626"/>
      <c r="F146" s="626"/>
      <c r="G146" s="626"/>
      <c r="H146" s="626"/>
      <c r="I146" s="626"/>
      <c r="J146" s="626"/>
      <c r="K146" s="627"/>
    </row>
    <row r="147" spans="1:11" ht="210.75" thickBot="1" x14ac:dyDescent="0.25">
      <c r="A147" s="282" t="s">
        <v>940</v>
      </c>
      <c r="B147" s="240" t="s">
        <v>481</v>
      </c>
      <c r="C147" s="337">
        <f t="shared" ref="C147" si="39">SUM(D147:H147)</f>
        <v>77072</v>
      </c>
      <c r="D147" s="208">
        <v>0</v>
      </c>
      <c r="E147" s="208">
        <v>0</v>
      </c>
      <c r="F147" s="208">
        <v>0</v>
      </c>
      <c r="G147" s="144">
        <v>0</v>
      </c>
      <c r="H147" s="73">
        <v>77072</v>
      </c>
      <c r="I147" s="241" t="s">
        <v>457</v>
      </c>
      <c r="J147" s="291" t="s">
        <v>6</v>
      </c>
      <c r="K147" s="246" t="s">
        <v>458</v>
      </c>
    </row>
    <row r="148" spans="1:11" ht="15.75" customHeight="1" thickBot="1" x14ac:dyDescent="0.25">
      <c r="A148" s="74" t="s">
        <v>234</v>
      </c>
      <c r="B148" s="156"/>
      <c r="C148" s="71">
        <f t="shared" ref="C148:H148" si="40">SUM(C147:C147)</f>
        <v>77072</v>
      </c>
      <c r="D148" s="71">
        <f t="shared" si="40"/>
        <v>0</v>
      </c>
      <c r="E148" s="71">
        <f t="shared" si="40"/>
        <v>0</v>
      </c>
      <c r="F148" s="71">
        <f t="shared" si="40"/>
        <v>0</v>
      </c>
      <c r="G148" s="71">
        <f t="shared" ref="G148" si="41">SUM(G147:G147)</f>
        <v>0</v>
      </c>
      <c r="H148" s="71">
        <f t="shared" si="40"/>
        <v>77072</v>
      </c>
      <c r="I148" s="211"/>
      <c r="J148" s="211"/>
      <c r="K148" s="72"/>
    </row>
    <row r="149" spans="1:11" ht="13.5" thickBot="1" x14ac:dyDescent="0.25">
      <c r="A149" s="292"/>
      <c r="B149" s="134"/>
      <c r="C149" s="293"/>
      <c r="D149" s="134"/>
      <c r="E149" s="134"/>
      <c r="F149" s="134"/>
      <c r="G149" s="134"/>
      <c r="H149" s="134"/>
      <c r="I149" s="294"/>
      <c r="J149" s="294"/>
      <c r="K149" s="295"/>
    </row>
    <row r="150" spans="1:11" ht="18" customHeight="1" thickBot="1" x14ac:dyDescent="0.25">
      <c r="A150" s="81" t="s">
        <v>134</v>
      </c>
      <c r="B150" s="156"/>
      <c r="C150" s="71">
        <f t="shared" ref="C150:H150" si="42">C148+C128+C142+C138+C125+C117+C109+C88+C85+C81+C76+C91+C29+C12</f>
        <v>25120565.18</v>
      </c>
      <c r="D150" s="71">
        <f t="shared" si="42"/>
        <v>3735557.31</v>
      </c>
      <c r="E150" s="71">
        <f t="shared" si="42"/>
        <v>4631654.29</v>
      </c>
      <c r="F150" s="71">
        <f t="shared" si="42"/>
        <v>4273217.29</v>
      </c>
      <c r="G150" s="71">
        <f t="shared" si="42"/>
        <v>3510261.29</v>
      </c>
      <c r="H150" s="71">
        <f t="shared" si="42"/>
        <v>8969875</v>
      </c>
      <c r="I150" s="211"/>
      <c r="J150" s="211"/>
      <c r="K150" s="82"/>
    </row>
  </sheetData>
  <mergeCells count="26">
    <mergeCell ref="A126:K126"/>
    <mergeCell ref="A30:K30"/>
    <mergeCell ref="I4:I5"/>
    <mergeCell ref="J4:J5"/>
    <mergeCell ref="K4:K5"/>
    <mergeCell ref="A6:K6"/>
    <mergeCell ref="A4:A5"/>
    <mergeCell ref="B4:B5"/>
    <mergeCell ref="C4:C5"/>
    <mergeCell ref="D4:H4"/>
    <mergeCell ref="A146:K146"/>
    <mergeCell ref="A2:K2"/>
    <mergeCell ref="A144:A145"/>
    <mergeCell ref="B144:B145"/>
    <mergeCell ref="C144:C145"/>
    <mergeCell ref="D144:H144"/>
    <mergeCell ref="I144:I145"/>
    <mergeCell ref="J144:J145"/>
    <mergeCell ref="K144:K145"/>
    <mergeCell ref="A13:K13"/>
    <mergeCell ref="A89:K89"/>
    <mergeCell ref="A77:K77"/>
    <mergeCell ref="A82:K82"/>
    <mergeCell ref="A86:K86"/>
    <mergeCell ref="A92:K92"/>
    <mergeCell ref="A139:K139"/>
  </mergeCells>
  <pageMargins left="0.39370078740157483" right="0.39370078740157483" top="0.59055118110236227" bottom="0.39370078740157483" header="0.31496062992125984" footer="0.11811023622047245"/>
  <pageSetup paperSize="9" scale="87" firstPageNumber="16" fitToHeight="0" orientation="landscape" useFirstPageNumber="1" r:id="rId1"/>
  <headerFooter>
    <oddHeader>&amp;L&amp;"Tahoma,Kurzíva"Střednědobý výhled rozpočtu kraje na léta 2022 - 2025&amp;R&amp;"Tahoma,Kurzíva"Přehled ostatních dlouhodobých závazků kraje</oddHeader>
    <oddFooter>&amp;C&amp;"Tahoma,Obyčejné"&amp;P</oddFooter>
  </headerFooter>
  <rowBreaks count="9" manualBreakCount="9">
    <brk id="33" max="10" man="1"/>
    <brk id="57" max="10" man="1"/>
    <brk id="65" max="10" man="1"/>
    <brk id="73" max="10" man="1"/>
    <brk id="85" max="10" man="1"/>
    <brk id="96" max="10" man="1"/>
    <brk id="107" max="10" man="1"/>
    <brk id="131" max="10" man="1"/>
    <brk id="140" max="10" man="1"/>
  </rowBreaks>
  <ignoredErrors>
    <ignoredError sqref="D5:G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VK94"/>
  <sheetViews>
    <sheetView zoomScaleNormal="100" zoomScaleSheetLayoutView="100" workbookViewId="0">
      <selection activeCell="K3" sqref="K3"/>
    </sheetView>
  </sheetViews>
  <sheetFormatPr defaultRowHeight="12.75" x14ac:dyDescent="0.2"/>
  <cols>
    <col min="1" max="1" width="50.7109375" style="182" customWidth="1"/>
    <col min="2" max="2" width="7.85546875" style="182" hidden="1" customWidth="1"/>
    <col min="3" max="3" width="12.7109375" style="182" customWidth="1"/>
    <col min="4" max="4" width="11.85546875" style="183" customWidth="1"/>
    <col min="5" max="5" width="14.7109375" style="182" customWidth="1"/>
    <col min="6" max="10" width="12.7109375" style="182" customWidth="1"/>
    <col min="11" max="15" width="9" style="182" customWidth="1"/>
    <col min="16" max="247" width="9.140625" style="182"/>
    <col min="248" max="248" width="5.5703125" style="182" customWidth="1"/>
    <col min="249" max="249" width="32" style="182" customWidth="1"/>
    <col min="250" max="251" width="9.85546875" style="182" customWidth="1"/>
    <col min="252" max="253" width="9.42578125" style="182" customWidth="1"/>
    <col min="254" max="254" width="11.140625" style="182" customWidth="1"/>
    <col min="255" max="257" width="8.5703125" style="182" customWidth="1"/>
    <col min="258" max="258" width="32.140625" style="182" customWidth="1"/>
    <col min="259" max="259" width="8" style="182" hidden="1" customWidth="1"/>
    <col min="260" max="503" width="9.140625" style="182"/>
    <col min="504" max="504" width="5.5703125" style="182" customWidth="1"/>
    <col min="505" max="505" width="32" style="182" customWidth="1"/>
    <col min="506" max="507" width="9.85546875" style="182" customWidth="1"/>
    <col min="508" max="509" width="9.42578125" style="182" customWidth="1"/>
    <col min="510" max="510" width="11.140625" style="182" customWidth="1"/>
    <col min="511" max="513" width="8.5703125" style="182" customWidth="1"/>
    <col min="514" max="514" width="32.140625" style="182" customWidth="1"/>
    <col min="515" max="515" width="8" style="182" hidden="1" customWidth="1"/>
    <col min="516" max="759" width="9.140625" style="182"/>
    <col min="760" max="760" width="5.5703125" style="182" customWidth="1"/>
    <col min="761" max="761" width="32" style="182" customWidth="1"/>
    <col min="762" max="763" width="9.85546875" style="182" customWidth="1"/>
    <col min="764" max="765" width="9.42578125" style="182" customWidth="1"/>
    <col min="766" max="766" width="11.140625" style="182" customWidth="1"/>
    <col min="767" max="769" width="8.5703125" style="182" customWidth="1"/>
    <col min="770" max="770" width="32.140625" style="182" customWidth="1"/>
    <col min="771" max="771" width="8" style="182" hidden="1" customWidth="1"/>
    <col min="772" max="1015" width="9.140625" style="182"/>
    <col min="1016" max="1016" width="5.5703125" style="182" customWidth="1"/>
    <col min="1017" max="1017" width="32" style="182" customWidth="1"/>
    <col min="1018" max="1019" width="9.85546875" style="182" customWidth="1"/>
    <col min="1020" max="1021" width="9.42578125" style="182" customWidth="1"/>
    <col min="1022" max="1022" width="11.140625" style="182" customWidth="1"/>
    <col min="1023" max="1025" width="8.5703125" style="182" customWidth="1"/>
    <col min="1026" max="1026" width="32.140625" style="182" customWidth="1"/>
    <col min="1027" max="1027" width="8" style="182" hidden="1" customWidth="1"/>
    <col min="1028" max="1271" width="9.140625" style="182"/>
    <col min="1272" max="1272" width="5.5703125" style="182" customWidth="1"/>
    <col min="1273" max="1273" width="32" style="182" customWidth="1"/>
    <col min="1274" max="1275" width="9.85546875" style="182" customWidth="1"/>
    <col min="1276" max="1277" width="9.42578125" style="182" customWidth="1"/>
    <col min="1278" max="1278" width="11.140625" style="182" customWidth="1"/>
    <col min="1279" max="1281" width="8.5703125" style="182" customWidth="1"/>
    <col min="1282" max="1282" width="32.140625" style="182" customWidth="1"/>
    <col min="1283" max="1283" width="8" style="182" hidden="1" customWidth="1"/>
    <col min="1284" max="1527" width="9.140625" style="182"/>
    <col min="1528" max="1528" width="5.5703125" style="182" customWidth="1"/>
    <col min="1529" max="1529" width="32" style="182" customWidth="1"/>
    <col min="1530" max="1531" width="9.85546875" style="182" customWidth="1"/>
    <col min="1532" max="1533" width="9.42578125" style="182" customWidth="1"/>
    <col min="1534" max="1534" width="11.140625" style="182" customWidth="1"/>
    <col min="1535" max="1537" width="8.5703125" style="182" customWidth="1"/>
    <col min="1538" max="1538" width="32.140625" style="182" customWidth="1"/>
    <col min="1539" max="1539" width="8" style="182" hidden="1" customWidth="1"/>
    <col min="1540" max="1783" width="9.140625" style="182"/>
    <col min="1784" max="1784" width="5.5703125" style="182" customWidth="1"/>
    <col min="1785" max="1785" width="32" style="182" customWidth="1"/>
    <col min="1786" max="1787" width="9.85546875" style="182" customWidth="1"/>
    <col min="1788" max="1789" width="9.42578125" style="182" customWidth="1"/>
    <col min="1790" max="1790" width="11.140625" style="182" customWidth="1"/>
    <col min="1791" max="1793" width="8.5703125" style="182" customWidth="1"/>
    <col min="1794" max="1794" width="32.140625" style="182" customWidth="1"/>
    <col min="1795" max="1795" width="8" style="182" hidden="1" customWidth="1"/>
    <col min="1796" max="2039" width="9.140625" style="182"/>
    <col min="2040" max="2040" width="5.5703125" style="182" customWidth="1"/>
    <col min="2041" max="2041" width="32" style="182" customWidth="1"/>
    <col min="2042" max="2043" width="9.85546875" style="182" customWidth="1"/>
    <col min="2044" max="2045" width="9.42578125" style="182" customWidth="1"/>
    <col min="2046" max="2046" width="11.140625" style="182" customWidth="1"/>
    <col min="2047" max="2049" width="8.5703125" style="182" customWidth="1"/>
    <col min="2050" max="2050" width="32.140625" style="182" customWidth="1"/>
    <col min="2051" max="2051" width="8" style="182" hidden="1" customWidth="1"/>
    <col min="2052" max="2295" width="9.140625" style="182"/>
    <col min="2296" max="2296" width="5.5703125" style="182" customWidth="1"/>
    <col min="2297" max="2297" width="32" style="182" customWidth="1"/>
    <col min="2298" max="2299" width="9.85546875" style="182" customWidth="1"/>
    <col min="2300" max="2301" width="9.42578125" style="182" customWidth="1"/>
    <col min="2302" max="2302" width="11.140625" style="182" customWidth="1"/>
    <col min="2303" max="2305" width="8.5703125" style="182" customWidth="1"/>
    <col min="2306" max="2306" width="32.140625" style="182" customWidth="1"/>
    <col min="2307" max="2307" width="8" style="182" hidden="1" customWidth="1"/>
    <col min="2308" max="2551" width="9.140625" style="182"/>
    <col min="2552" max="2552" width="5.5703125" style="182" customWidth="1"/>
    <col min="2553" max="2553" width="32" style="182" customWidth="1"/>
    <col min="2554" max="2555" width="9.85546875" style="182" customWidth="1"/>
    <col min="2556" max="2557" width="9.42578125" style="182" customWidth="1"/>
    <col min="2558" max="2558" width="11.140625" style="182" customWidth="1"/>
    <col min="2559" max="2561" width="8.5703125" style="182" customWidth="1"/>
    <col min="2562" max="2562" width="32.140625" style="182" customWidth="1"/>
    <col min="2563" max="2563" width="8" style="182" hidden="1" customWidth="1"/>
    <col min="2564" max="2807" width="9.140625" style="182"/>
    <col min="2808" max="2808" width="5.5703125" style="182" customWidth="1"/>
    <col min="2809" max="2809" width="32" style="182" customWidth="1"/>
    <col min="2810" max="2811" width="9.85546875" style="182" customWidth="1"/>
    <col min="2812" max="2813" width="9.42578125" style="182" customWidth="1"/>
    <col min="2814" max="2814" width="11.140625" style="182" customWidth="1"/>
    <col min="2815" max="2817" width="8.5703125" style="182" customWidth="1"/>
    <col min="2818" max="2818" width="32.140625" style="182" customWidth="1"/>
    <col min="2819" max="2819" width="8" style="182" hidden="1" customWidth="1"/>
    <col min="2820" max="3063" width="9.140625" style="182"/>
    <col min="3064" max="3064" width="5.5703125" style="182" customWidth="1"/>
    <col min="3065" max="3065" width="32" style="182" customWidth="1"/>
    <col min="3066" max="3067" width="9.85546875" style="182" customWidth="1"/>
    <col min="3068" max="3069" width="9.42578125" style="182" customWidth="1"/>
    <col min="3070" max="3070" width="11.140625" style="182" customWidth="1"/>
    <col min="3071" max="3073" width="8.5703125" style="182" customWidth="1"/>
    <col min="3074" max="3074" width="32.140625" style="182" customWidth="1"/>
    <col min="3075" max="3075" width="8" style="182" hidden="1" customWidth="1"/>
    <col min="3076" max="3319" width="9.140625" style="182"/>
    <col min="3320" max="3320" width="5.5703125" style="182" customWidth="1"/>
    <col min="3321" max="3321" width="32" style="182" customWidth="1"/>
    <col min="3322" max="3323" width="9.85546875" style="182" customWidth="1"/>
    <col min="3324" max="3325" width="9.42578125" style="182" customWidth="1"/>
    <col min="3326" max="3326" width="11.140625" style="182" customWidth="1"/>
    <col min="3327" max="3329" width="8.5703125" style="182" customWidth="1"/>
    <col min="3330" max="3330" width="32.140625" style="182" customWidth="1"/>
    <col min="3331" max="3331" width="8" style="182" hidden="1" customWidth="1"/>
    <col min="3332" max="3575" width="9.140625" style="182"/>
    <col min="3576" max="3576" width="5.5703125" style="182" customWidth="1"/>
    <col min="3577" max="3577" width="32" style="182" customWidth="1"/>
    <col min="3578" max="3579" width="9.85546875" style="182" customWidth="1"/>
    <col min="3580" max="3581" width="9.42578125" style="182" customWidth="1"/>
    <col min="3582" max="3582" width="11.140625" style="182" customWidth="1"/>
    <col min="3583" max="3585" width="8.5703125" style="182" customWidth="1"/>
    <col min="3586" max="3586" width="32.140625" style="182" customWidth="1"/>
    <col min="3587" max="3587" width="8" style="182" hidden="1" customWidth="1"/>
    <col min="3588" max="3831" width="9.140625" style="182"/>
    <col min="3832" max="3832" width="5.5703125" style="182" customWidth="1"/>
    <col min="3833" max="3833" width="32" style="182" customWidth="1"/>
    <col min="3834" max="3835" width="9.85546875" style="182" customWidth="1"/>
    <col min="3836" max="3837" width="9.42578125" style="182" customWidth="1"/>
    <col min="3838" max="3838" width="11.140625" style="182" customWidth="1"/>
    <col min="3839" max="3841" width="8.5703125" style="182" customWidth="1"/>
    <col min="3842" max="3842" width="32.140625" style="182" customWidth="1"/>
    <col min="3843" max="3843" width="8" style="182" hidden="1" customWidth="1"/>
    <col min="3844" max="4087" width="9.140625" style="182"/>
    <col min="4088" max="4088" width="5.5703125" style="182" customWidth="1"/>
    <col min="4089" max="4089" width="32" style="182" customWidth="1"/>
    <col min="4090" max="4091" width="9.85546875" style="182" customWidth="1"/>
    <col min="4092" max="4093" width="9.42578125" style="182" customWidth="1"/>
    <col min="4094" max="4094" width="11.140625" style="182" customWidth="1"/>
    <col min="4095" max="4097" width="8.5703125" style="182" customWidth="1"/>
    <col min="4098" max="4098" width="32.140625" style="182" customWidth="1"/>
    <col min="4099" max="4099" width="8" style="182" hidden="1" customWidth="1"/>
    <col min="4100" max="4343" width="9.140625" style="182"/>
    <col min="4344" max="4344" width="5.5703125" style="182" customWidth="1"/>
    <col min="4345" max="4345" width="32" style="182" customWidth="1"/>
    <col min="4346" max="4347" width="9.85546875" style="182" customWidth="1"/>
    <col min="4348" max="4349" width="9.42578125" style="182" customWidth="1"/>
    <col min="4350" max="4350" width="11.140625" style="182" customWidth="1"/>
    <col min="4351" max="4353" width="8.5703125" style="182" customWidth="1"/>
    <col min="4354" max="4354" width="32.140625" style="182" customWidth="1"/>
    <col min="4355" max="4355" width="8" style="182" hidden="1" customWidth="1"/>
    <col min="4356" max="4599" width="9.140625" style="182"/>
    <col min="4600" max="4600" width="5.5703125" style="182" customWidth="1"/>
    <col min="4601" max="4601" width="32" style="182" customWidth="1"/>
    <col min="4602" max="4603" width="9.85546875" style="182" customWidth="1"/>
    <col min="4604" max="4605" width="9.42578125" style="182" customWidth="1"/>
    <col min="4606" max="4606" width="11.140625" style="182" customWidth="1"/>
    <col min="4607" max="4609" width="8.5703125" style="182" customWidth="1"/>
    <col min="4610" max="4610" width="32.140625" style="182" customWidth="1"/>
    <col min="4611" max="4611" width="8" style="182" hidden="1" customWidth="1"/>
    <col min="4612" max="4855" width="9.140625" style="182"/>
    <col min="4856" max="4856" width="5.5703125" style="182" customWidth="1"/>
    <col min="4857" max="4857" width="32" style="182" customWidth="1"/>
    <col min="4858" max="4859" width="9.85546875" style="182" customWidth="1"/>
    <col min="4860" max="4861" width="9.42578125" style="182" customWidth="1"/>
    <col min="4862" max="4862" width="11.140625" style="182" customWidth="1"/>
    <col min="4863" max="4865" width="8.5703125" style="182" customWidth="1"/>
    <col min="4866" max="4866" width="32.140625" style="182" customWidth="1"/>
    <col min="4867" max="4867" width="8" style="182" hidden="1" customWidth="1"/>
    <col min="4868" max="5111" width="9.140625" style="182"/>
    <col min="5112" max="5112" width="5.5703125" style="182" customWidth="1"/>
    <col min="5113" max="5113" width="32" style="182" customWidth="1"/>
    <col min="5114" max="5115" width="9.85546875" style="182" customWidth="1"/>
    <col min="5116" max="5117" width="9.42578125" style="182" customWidth="1"/>
    <col min="5118" max="5118" width="11.140625" style="182" customWidth="1"/>
    <col min="5119" max="5121" width="8.5703125" style="182" customWidth="1"/>
    <col min="5122" max="5122" width="32.140625" style="182" customWidth="1"/>
    <col min="5123" max="5123" width="8" style="182" hidden="1" customWidth="1"/>
    <col min="5124" max="5367" width="9.140625" style="182"/>
    <col min="5368" max="5368" width="5.5703125" style="182" customWidth="1"/>
    <col min="5369" max="5369" width="32" style="182" customWidth="1"/>
    <col min="5370" max="5371" width="9.85546875" style="182" customWidth="1"/>
    <col min="5372" max="5373" width="9.42578125" style="182" customWidth="1"/>
    <col min="5374" max="5374" width="11.140625" style="182" customWidth="1"/>
    <col min="5375" max="5377" width="8.5703125" style="182" customWidth="1"/>
    <col min="5378" max="5378" width="32.140625" style="182" customWidth="1"/>
    <col min="5379" max="5379" width="8" style="182" hidden="1" customWidth="1"/>
    <col min="5380" max="5623" width="9.140625" style="182"/>
    <col min="5624" max="5624" width="5.5703125" style="182" customWidth="1"/>
    <col min="5625" max="5625" width="32" style="182" customWidth="1"/>
    <col min="5626" max="5627" width="9.85546875" style="182" customWidth="1"/>
    <col min="5628" max="5629" width="9.42578125" style="182" customWidth="1"/>
    <col min="5630" max="5630" width="11.140625" style="182" customWidth="1"/>
    <col min="5631" max="5633" width="8.5703125" style="182" customWidth="1"/>
    <col min="5634" max="5634" width="32.140625" style="182" customWidth="1"/>
    <col min="5635" max="5635" width="8" style="182" hidden="1" customWidth="1"/>
    <col min="5636" max="5879" width="9.140625" style="182"/>
    <col min="5880" max="5880" width="5.5703125" style="182" customWidth="1"/>
    <col min="5881" max="5881" width="32" style="182" customWidth="1"/>
    <col min="5882" max="5883" width="9.85546875" style="182" customWidth="1"/>
    <col min="5884" max="5885" width="9.42578125" style="182" customWidth="1"/>
    <col min="5886" max="5886" width="11.140625" style="182" customWidth="1"/>
    <col min="5887" max="5889" width="8.5703125" style="182" customWidth="1"/>
    <col min="5890" max="5890" width="32.140625" style="182" customWidth="1"/>
    <col min="5891" max="5891" width="8" style="182" hidden="1" customWidth="1"/>
    <col min="5892" max="6135" width="9.140625" style="182"/>
    <col min="6136" max="6136" width="5.5703125" style="182" customWidth="1"/>
    <col min="6137" max="6137" width="32" style="182" customWidth="1"/>
    <col min="6138" max="6139" width="9.85546875" style="182" customWidth="1"/>
    <col min="6140" max="6141" width="9.42578125" style="182" customWidth="1"/>
    <col min="6142" max="6142" width="11.140625" style="182" customWidth="1"/>
    <col min="6143" max="6145" width="8.5703125" style="182" customWidth="1"/>
    <col min="6146" max="6146" width="32.140625" style="182" customWidth="1"/>
    <col min="6147" max="6147" width="8" style="182" hidden="1" customWidth="1"/>
    <col min="6148" max="6391" width="9.140625" style="182"/>
    <col min="6392" max="6392" width="5.5703125" style="182" customWidth="1"/>
    <col min="6393" max="6393" width="32" style="182" customWidth="1"/>
    <col min="6394" max="6395" width="9.85546875" style="182" customWidth="1"/>
    <col min="6396" max="6397" width="9.42578125" style="182" customWidth="1"/>
    <col min="6398" max="6398" width="11.140625" style="182" customWidth="1"/>
    <col min="6399" max="6401" width="8.5703125" style="182" customWidth="1"/>
    <col min="6402" max="6402" width="32.140625" style="182" customWidth="1"/>
    <col min="6403" max="6403" width="8" style="182" hidden="1" customWidth="1"/>
    <col min="6404" max="6647" width="9.140625" style="182"/>
    <col min="6648" max="6648" width="5.5703125" style="182" customWidth="1"/>
    <col min="6649" max="6649" width="32" style="182" customWidth="1"/>
    <col min="6650" max="6651" width="9.85546875" style="182" customWidth="1"/>
    <col min="6652" max="6653" width="9.42578125" style="182" customWidth="1"/>
    <col min="6654" max="6654" width="11.140625" style="182" customWidth="1"/>
    <col min="6655" max="6657" width="8.5703125" style="182" customWidth="1"/>
    <col min="6658" max="6658" width="32.140625" style="182" customWidth="1"/>
    <col min="6659" max="6659" width="8" style="182" hidden="1" customWidth="1"/>
    <col min="6660" max="6903" width="9.140625" style="182"/>
    <col min="6904" max="6904" width="5.5703125" style="182" customWidth="1"/>
    <col min="6905" max="6905" width="32" style="182" customWidth="1"/>
    <col min="6906" max="6907" width="9.85546875" style="182" customWidth="1"/>
    <col min="6908" max="6909" width="9.42578125" style="182" customWidth="1"/>
    <col min="6910" max="6910" width="11.140625" style="182" customWidth="1"/>
    <col min="6911" max="6913" width="8.5703125" style="182" customWidth="1"/>
    <col min="6914" max="6914" width="32.140625" style="182" customWidth="1"/>
    <col min="6915" max="6915" width="8" style="182" hidden="1" customWidth="1"/>
    <col min="6916" max="7159" width="9.140625" style="182"/>
    <col min="7160" max="7160" width="5.5703125" style="182" customWidth="1"/>
    <col min="7161" max="7161" width="32" style="182" customWidth="1"/>
    <col min="7162" max="7163" width="9.85546875" style="182" customWidth="1"/>
    <col min="7164" max="7165" width="9.42578125" style="182" customWidth="1"/>
    <col min="7166" max="7166" width="11.140625" style="182" customWidth="1"/>
    <col min="7167" max="7169" width="8.5703125" style="182" customWidth="1"/>
    <col min="7170" max="7170" width="32.140625" style="182" customWidth="1"/>
    <col min="7171" max="7171" width="8" style="182" hidden="1" customWidth="1"/>
    <col min="7172" max="7415" width="9.140625" style="182"/>
    <col min="7416" max="7416" width="5.5703125" style="182" customWidth="1"/>
    <col min="7417" max="7417" width="32" style="182" customWidth="1"/>
    <col min="7418" max="7419" width="9.85546875" style="182" customWidth="1"/>
    <col min="7420" max="7421" width="9.42578125" style="182" customWidth="1"/>
    <col min="7422" max="7422" width="11.140625" style="182" customWidth="1"/>
    <col min="7423" max="7425" width="8.5703125" style="182" customWidth="1"/>
    <col min="7426" max="7426" width="32.140625" style="182" customWidth="1"/>
    <col min="7427" max="7427" width="8" style="182" hidden="1" customWidth="1"/>
    <col min="7428" max="7671" width="9.140625" style="182"/>
    <col min="7672" max="7672" width="5.5703125" style="182" customWidth="1"/>
    <col min="7673" max="7673" width="32" style="182" customWidth="1"/>
    <col min="7674" max="7675" width="9.85546875" style="182" customWidth="1"/>
    <col min="7676" max="7677" width="9.42578125" style="182" customWidth="1"/>
    <col min="7678" max="7678" width="11.140625" style="182" customWidth="1"/>
    <col min="7679" max="7681" width="8.5703125" style="182" customWidth="1"/>
    <col min="7682" max="7682" width="32.140625" style="182" customWidth="1"/>
    <col min="7683" max="7683" width="8" style="182" hidden="1" customWidth="1"/>
    <col min="7684" max="7927" width="9.140625" style="182"/>
    <col min="7928" max="7928" width="5.5703125" style="182" customWidth="1"/>
    <col min="7929" max="7929" width="32" style="182" customWidth="1"/>
    <col min="7930" max="7931" width="9.85546875" style="182" customWidth="1"/>
    <col min="7932" max="7933" width="9.42578125" style="182" customWidth="1"/>
    <col min="7934" max="7934" width="11.140625" style="182" customWidth="1"/>
    <col min="7935" max="7937" width="8.5703125" style="182" customWidth="1"/>
    <col min="7938" max="7938" width="32.140625" style="182" customWidth="1"/>
    <col min="7939" max="7939" width="8" style="182" hidden="1" customWidth="1"/>
    <col min="7940" max="8183" width="9.140625" style="182"/>
    <col min="8184" max="8184" width="5.5703125" style="182" customWidth="1"/>
    <col min="8185" max="8185" width="32" style="182" customWidth="1"/>
    <col min="8186" max="8187" width="9.85546875" style="182" customWidth="1"/>
    <col min="8188" max="8189" width="9.42578125" style="182" customWidth="1"/>
    <col min="8190" max="8190" width="11.140625" style="182" customWidth="1"/>
    <col min="8191" max="8193" width="8.5703125" style="182" customWidth="1"/>
    <col min="8194" max="8194" width="32.140625" style="182" customWidth="1"/>
    <col min="8195" max="8195" width="8" style="182" hidden="1" customWidth="1"/>
    <col min="8196" max="8439" width="9.140625" style="182"/>
    <col min="8440" max="8440" width="5.5703125" style="182" customWidth="1"/>
    <col min="8441" max="8441" width="32" style="182" customWidth="1"/>
    <col min="8442" max="8443" width="9.85546875" style="182" customWidth="1"/>
    <col min="8444" max="8445" width="9.42578125" style="182" customWidth="1"/>
    <col min="8446" max="8446" width="11.140625" style="182" customWidth="1"/>
    <col min="8447" max="8449" width="8.5703125" style="182" customWidth="1"/>
    <col min="8450" max="8450" width="32.140625" style="182" customWidth="1"/>
    <col min="8451" max="8451" width="8" style="182" hidden="1" customWidth="1"/>
    <col min="8452" max="8695" width="9.140625" style="182"/>
    <col min="8696" max="8696" width="5.5703125" style="182" customWidth="1"/>
    <col min="8697" max="8697" width="32" style="182" customWidth="1"/>
    <col min="8698" max="8699" width="9.85546875" style="182" customWidth="1"/>
    <col min="8700" max="8701" width="9.42578125" style="182" customWidth="1"/>
    <col min="8702" max="8702" width="11.140625" style="182" customWidth="1"/>
    <col min="8703" max="8705" width="8.5703125" style="182" customWidth="1"/>
    <col min="8706" max="8706" width="32.140625" style="182" customWidth="1"/>
    <col min="8707" max="8707" width="8" style="182" hidden="1" customWidth="1"/>
    <col min="8708" max="8951" width="9.140625" style="182"/>
    <col min="8952" max="8952" width="5.5703125" style="182" customWidth="1"/>
    <col min="8953" max="8953" width="32" style="182" customWidth="1"/>
    <col min="8954" max="8955" width="9.85546875" style="182" customWidth="1"/>
    <col min="8956" max="8957" width="9.42578125" style="182" customWidth="1"/>
    <col min="8958" max="8958" width="11.140625" style="182" customWidth="1"/>
    <col min="8959" max="8961" width="8.5703125" style="182" customWidth="1"/>
    <col min="8962" max="8962" width="32.140625" style="182" customWidth="1"/>
    <col min="8963" max="8963" width="8" style="182" hidden="1" customWidth="1"/>
    <col min="8964" max="9207" width="9.140625" style="182"/>
    <col min="9208" max="9208" width="5.5703125" style="182" customWidth="1"/>
    <col min="9209" max="9209" width="32" style="182" customWidth="1"/>
    <col min="9210" max="9211" width="9.85546875" style="182" customWidth="1"/>
    <col min="9212" max="9213" width="9.42578125" style="182" customWidth="1"/>
    <col min="9214" max="9214" width="11.140625" style="182" customWidth="1"/>
    <col min="9215" max="9217" width="8.5703125" style="182" customWidth="1"/>
    <col min="9218" max="9218" width="32.140625" style="182" customWidth="1"/>
    <col min="9219" max="9219" width="8" style="182" hidden="1" customWidth="1"/>
    <col min="9220" max="9463" width="9.140625" style="182"/>
    <col min="9464" max="9464" width="5.5703125" style="182" customWidth="1"/>
    <col min="9465" max="9465" width="32" style="182" customWidth="1"/>
    <col min="9466" max="9467" width="9.85546875" style="182" customWidth="1"/>
    <col min="9468" max="9469" width="9.42578125" style="182" customWidth="1"/>
    <col min="9470" max="9470" width="11.140625" style="182" customWidth="1"/>
    <col min="9471" max="9473" width="8.5703125" style="182" customWidth="1"/>
    <col min="9474" max="9474" width="32.140625" style="182" customWidth="1"/>
    <col min="9475" max="9475" width="8" style="182" hidden="1" customWidth="1"/>
    <col min="9476" max="9719" width="9.140625" style="182"/>
    <col min="9720" max="9720" width="5.5703125" style="182" customWidth="1"/>
    <col min="9721" max="9721" width="32" style="182" customWidth="1"/>
    <col min="9722" max="9723" width="9.85546875" style="182" customWidth="1"/>
    <col min="9724" max="9725" width="9.42578125" style="182" customWidth="1"/>
    <col min="9726" max="9726" width="11.140625" style="182" customWidth="1"/>
    <col min="9727" max="9729" width="8.5703125" style="182" customWidth="1"/>
    <col min="9730" max="9730" width="32.140625" style="182" customWidth="1"/>
    <col min="9731" max="9731" width="8" style="182" hidden="1" customWidth="1"/>
    <col min="9732" max="9975" width="9.140625" style="182"/>
    <col min="9976" max="9976" width="5.5703125" style="182" customWidth="1"/>
    <col min="9977" max="9977" width="32" style="182" customWidth="1"/>
    <col min="9978" max="9979" width="9.85546875" style="182" customWidth="1"/>
    <col min="9980" max="9981" width="9.42578125" style="182" customWidth="1"/>
    <col min="9982" max="9982" width="11.140625" style="182" customWidth="1"/>
    <col min="9983" max="9985" width="8.5703125" style="182" customWidth="1"/>
    <col min="9986" max="9986" width="32.140625" style="182" customWidth="1"/>
    <col min="9987" max="9987" width="8" style="182" hidden="1" customWidth="1"/>
    <col min="9988" max="10231" width="9.140625" style="182"/>
    <col min="10232" max="10232" width="5.5703125" style="182" customWidth="1"/>
    <col min="10233" max="10233" width="32" style="182" customWidth="1"/>
    <col min="10234" max="10235" width="9.85546875" style="182" customWidth="1"/>
    <col min="10236" max="10237" width="9.42578125" style="182" customWidth="1"/>
    <col min="10238" max="10238" width="11.140625" style="182" customWidth="1"/>
    <col min="10239" max="10241" width="8.5703125" style="182" customWidth="1"/>
    <col min="10242" max="10242" width="32.140625" style="182" customWidth="1"/>
    <col min="10243" max="10243" width="8" style="182" hidden="1" customWidth="1"/>
    <col min="10244" max="10487" width="9.140625" style="182"/>
    <col min="10488" max="10488" width="5.5703125" style="182" customWidth="1"/>
    <col min="10489" max="10489" width="32" style="182" customWidth="1"/>
    <col min="10490" max="10491" width="9.85546875" style="182" customWidth="1"/>
    <col min="10492" max="10493" width="9.42578125" style="182" customWidth="1"/>
    <col min="10494" max="10494" width="11.140625" style="182" customWidth="1"/>
    <col min="10495" max="10497" width="8.5703125" style="182" customWidth="1"/>
    <col min="10498" max="10498" width="32.140625" style="182" customWidth="1"/>
    <col min="10499" max="10499" width="8" style="182" hidden="1" customWidth="1"/>
    <col min="10500" max="10743" width="9.140625" style="182"/>
    <col min="10744" max="10744" width="5.5703125" style="182" customWidth="1"/>
    <col min="10745" max="10745" width="32" style="182" customWidth="1"/>
    <col min="10746" max="10747" width="9.85546875" style="182" customWidth="1"/>
    <col min="10748" max="10749" width="9.42578125" style="182" customWidth="1"/>
    <col min="10750" max="10750" width="11.140625" style="182" customWidth="1"/>
    <col min="10751" max="10753" width="8.5703125" style="182" customWidth="1"/>
    <col min="10754" max="10754" width="32.140625" style="182" customWidth="1"/>
    <col min="10755" max="10755" width="8" style="182" hidden="1" customWidth="1"/>
    <col min="10756" max="10999" width="9.140625" style="182"/>
    <col min="11000" max="11000" width="5.5703125" style="182" customWidth="1"/>
    <col min="11001" max="11001" width="32" style="182" customWidth="1"/>
    <col min="11002" max="11003" width="9.85546875" style="182" customWidth="1"/>
    <col min="11004" max="11005" width="9.42578125" style="182" customWidth="1"/>
    <col min="11006" max="11006" width="11.140625" style="182" customWidth="1"/>
    <col min="11007" max="11009" width="8.5703125" style="182" customWidth="1"/>
    <col min="11010" max="11010" width="32.140625" style="182" customWidth="1"/>
    <col min="11011" max="11011" width="8" style="182" hidden="1" customWidth="1"/>
    <col min="11012" max="11255" width="9.140625" style="182"/>
    <col min="11256" max="11256" width="5.5703125" style="182" customWidth="1"/>
    <col min="11257" max="11257" width="32" style="182" customWidth="1"/>
    <col min="11258" max="11259" width="9.85546875" style="182" customWidth="1"/>
    <col min="11260" max="11261" width="9.42578125" style="182" customWidth="1"/>
    <col min="11262" max="11262" width="11.140625" style="182" customWidth="1"/>
    <col min="11263" max="11265" width="8.5703125" style="182" customWidth="1"/>
    <col min="11266" max="11266" width="32.140625" style="182" customWidth="1"/>
    <col min="11267" max="11267" width="8" style="182" hidden="1" customWidth="1"/>
    <col min="11268" max="11511" width="9.140625" style="182"/>
    <col min="11512" max="11512" width="5.5703125" style="182" customWidth="1"/>
    <col min="11513" max="11513" width="32" style="182" customWidth="1"/>
    <col min="11514" max="11515" width="9.85546875" style="182" customWidth="1"/>
    <col min="11516" max="11517" width="9.42578125" style="182" customWidth="1"/>
    <col min="11518" max="11518" width="11.140625" style="182" customWidth="1"/>
    <col min="11519" max="11521" width="8.5703125" style="182" customWidth="1"/>
    <col min="11522" max="11522" width="32.140625" style="182" customWidth="1"/>
    <col min="11523" max="11523" width="8" style="182" hidden="1" customWidth="1"/>
    <col min="11524" max="11767" width="9.140625" style="182"/>
    <col min="11768" max="11768" width="5.5703125" style="182" customWidth="1"/>
    <col min="11769" max="11769" width="32" style="182" customWidth="1"/>
    <col min="11770" max="11771" width="9.85546875" style="182" customWidth="1"/>
    <col min="11772" max="11773" width="9.42578125" style="182" customWidth="1"/>
    <col min="11774" max="11774" width="11.140625" style="182" customWidth="1"/>
    <col min="11775" max="11777" width="8.5703125" style="182" customWidth="1"/>
    <col min="11778" max="11778" width="32.140625" style="182" customWidth="1"/>
    <col min="11779" max="11779" width="8" style="182" hidden="1" customWidth="1"/>
    <col min="11780" max="12023" width="9.140625" style="182"/>
    <col min="12024" max="12024" width="5.5703125" style="182" customWidth="1"/>
    <col min="12025" max="12025" width="32" style="182" customWidth="1"/>
    <col min="12026" max="12027" width="9.85546875" style="182" customWidth="1"/>
    <col min="12028" max="12029" width="9.42578125" style="182" customWidth="1"/>
    <col min="12030" max="12030" width="11.140625" style="182" customWidth="1"/>
    <col min="12031" max="12033" width="8.5703125" style="182" customWidth="1"/>
    <col min="12034" max="12034" width="32.140625" style="182" customWidth="1"/>
    <col min="12035" max="12035" width="8" style="182" hidden="1" customWidth="1"/>
    <col min="12036" max="12279" width="9.140625" style="182"/>
    <col min="12280" max="12280" width="5.5703125" style="182" customWidth="1"/>
    <col min="12281" max="12281" width="32" style="182" customWidth="1"/>
    <col min="12282" max="12283" width="9.85546875" style="182" customWidth="1"/>
    <col min="12284" max="12285" width="9.42578125" style="182" customWidth="1"/>
    <col min="12286" max="12286" width="11.140625" style="182" customWidth="1"/>
    <col min="12287" max="12289" width="8.5703125" style="182" customWidth="1"/>
    <col min="12290" max="12290" width="32.140625" style="182" customWidth="1"/>
    <col min="12291" max="12291" width="8" style="182" hidden="1" customWidth="1"/>
    <col min="12292" max="12535" width="9.140625" style="182"/>
    <col min="12536" max="12536" width="5.5703125" style="182" customWidth="1"/>
    <col min="12537" max="12537" width="32" style="182" customWidth="1"/>
    <col min="12538" max="12539" width="9.85546875" style="182" customWidth="1"/>
    <col min="12540" max="12541" width="9.42578125" style="182" customWidth="1"/>
    <col min="12542" max="12542" width="11.140625" style="182" customWidth="1"/>
    <col min="12543" max="12545" width="8.5703125" style="182" customWidth="1"/>
    <col min="12546" max="12546" width="32.140625" style="182" customWidth="1"/>
    <col min="12547" max="12547" width="8" style="182" hidden="1" customWidth="1"/>
    <col min="12548" max="12791" width="9.140625" style="182"/>
    <col min="12792" max="12792" width="5.5703125" style="182" customWidth="1"/>
    <col min="12793" max="12793" width="32" style="182" customWidth="1"/>
    <col min="12794" max="12795" width="9.85546875" style="182" customWidth="1"/>
    <col min="12796" max="12797" width="9.42578125" style="182" customWidth="1"/>
    <col min="12798" max="12798" width="11.140625" style="182" customWidth="1"/>
    <col min="12799" max="12801" width="8.5703125" style="182" customWidth="1"/>
    <col min="12802" max="12802" width="32.140625" style="182" customWidth="1"/>
    <col min="12803" max="12803" width="8" style="182" hidden="1" customWidth="1"/>
    <col min="12804" max="13047" width="9.140625" style="182"/>
    <col min="13048" max="13048" width="5.5703125" style="182" customWidth="1"/>
    <col min="13049" max="13049" width="32" style="182" customWidth="1"/>
    <col min="13050" max="13051" width="9.85546875" style="182" customWidth="1"/>
    <col min="13052" max="13053" width="9.42578125" style="182" customWidth="1"/>
    <col min="13054" max="13054" width="11.140625" style="182" customWidth="1"/>
    <col min="13055" max="13057" width="8.5703125" style="182" customWidth="1"/>
    <col min="13058" max="13058" width="32.140625" style="182" customWidth="1"/>
    <col min="13059" max="13059" width="8" style="182" hidden="1" customWidth="1"/>
    <col min="13060" max="13303" width="9.140625" style="182"/>
    <col min="13304" max="13304" width="5.5703125" style="182" customWidth="1"/>
    <col min="13305" max="13305" width="32" style="182" customWidth="1"/>
    <col min="13306" max="13307" width="9.85546875" style="182" customWidth="1"/>
    <col min="13308" max="13309" width="9.42578125" style="182" customWidth="1"/>
    <col min="13310" max="13310" width="11.140625" style="182" customWidth="1"/>
    <col min="13311" max="13313" width="8.5703125" style="182" customWidth="1"/>
    <col min="13314" max="13314" width="32.140625" style="182" customWidth="1"/>
    <col min="13315" max="13315" width="8" style="182" hidden="1" customWidth="1"/>
    <col min="13316" max="13559" width="9.140625" style="182"/>
    <col min="13560" max="13560" width="5.5703125" style="182" customWidth="1"/>
    <col min="13561" max="13561" width="32" style="182" customWidth="1"/>
    <col min="13562" max="13563" width="9.85546875" style="182" customWidth="1"/>
    <col min="13564" max="13565" width="9.42578125" style="182" customWidth="1"/>
    <col min="13566" max="13566" width="11.140625" style="182" customWidth="1"/>
    <col min="13567" max="13569" width="8.5703125" style="182" customWidth="1"/>
    <col min="13570" max="13570" width="32.140625" style="182" customWidth="1"/>
    <col min="13571" max="13571" width="8" style="182" hidden="1" customWidth="1"/>
    <col min="13572" max="13815" width="9.140625" style="182"/>
    <col min="13816" max="13816" width="5.5703125" style="182" customWidth="1"/>
    <col min="13817" max="13817" width="32" style="182" customWidth="1"/>
    <col min="13818" max="13819" width="9.85546875" style="182" customWidth="1"/>
    <col min="13820" max="13821" width="9.42578125" style="182" customWidth="1"/>
    <col min="13822" max="13822" width="11.140625" style="182" customWidth="1"/>
    <col min="13823" max="13825" width="8.5703125" style="182" customWidth="1"/>
    <col min="13826" max="13826" width="32.140625" style="182" customWidth="1"/>
    <col min="13827" max="13827" width="8" style="182" hidden="1" customWidth="1"/>
    <col min="13828" max="14071" width="9.140625" style="182"/>
    <col min="14072" max="14072" width="5.5703125" style="182" customWidth="1"/>
    <col min="14073" max="14073" width="32" style="182" customWidth="1"/>
    <col min="14074" max="14075" width="9.85546875" style="182" customWidth="1"/>
    <col min="14076" max="14077" width="9.42578125" style="182" customWidth="1"/>
    <col min="14078" max="14078" width="11.140625" style="182" customWidth="1"/>
    <col min="14079" max="14081" width="8.5703125" style="182" customWidth="1"/>
    <col min="14082" max="14082" width="32.140625" style="182" customWidth="1"/>
    <col min="14083" max="14083" width="8" style="182" hidden="1" customWidth="1"/>
    <col min="14084" max="14327" width="9.140625" style="182"/>
    <col min="14328" max="14328" width="5.5703125" style="182" customWidth="1"/>
    <col min="14329" max="14329" width="32" style="182" customWidth="1"/>
    <col min="14330" max="14331" width="9.85546875" style="182" customWidth="1"/>
    <col min="14332" max="14333" width="9.42578125" style="182" customWidth="1"/>
    <col min="14334" max="14334" width="11.140625" style="182" customWidth="1"/>
    <col min="14335" max="14337" width="8.5703125" style="182" customWidth="1"/>
    <col min="14338" max="14338" width="32.140625" style="182" customWidth="1"/>
    <col min="14339" max="14339" width="8" style="182" hidden="1" customWidth="1"/>
    <col min="14340" max="14583" width="9.140625" style="182"/>
    <col min="14584" max="14584" width="5.5703125" style="182" customWidth="1"/>
    <col min="14585" max="14585" width="32" style="182" customWidth="1"/>
    <col min="14586" max="14587" width="9.85546875" style="182" customWidth="1"/>
    <col min="14588" max="14589" width="9.42578125" style="182" customWidth="1"/>
    <col min="14590" max="14590" width="11.140625" style="182" customWidth="1"/>
    <col min="14591" max="14593" width="8.5703125" style="182" customWidth="1"/>
    <col min="14594" max="14594" width="32.140625" style="182" customWidth="1"/>
    <col min="14595" max="14595" width="8" style="182" hidden="1" customWidth="1"/>
    <col min="14596" max="14839" width="9.140625" style="182"/>
    <col min="14840" max="14840" width="5.5703125" style="182" customWidth="1"/>
    <col min="14841" max="14841" width="32" style="182" customWidth="1"/>
    <col min="14842" max="14843" width="9.85546875" style="182" customWidth="1"/>
    <col min="14844" max="14845" width="9.42578125" style="182" customWidth="1"/>
    <col min="14846" max="14846" width="11.140625" style="182" customWidth="1"/>
    <col min="14847" max="14849" width="8.5703125" style="182" customWidth="1"/>
    <col min="14850" max="14850" width="32.140625" style="182" customWidth="1"/>
    <col min="14851" max="14851" width="8" style="182" hidden="1" customWidth="1"/>
    <col min="14852" max="15095" width="9.140625" style="182"/>
    <col min="15096" max="15096" width="5.5703125" style="182" customWidth="1"/>
    <col min="15097" max="15097" width="32" style="182" customWidth="1"/>
    <col min="15098" max="15099" width="9.85546875" style="182" customWidth="1"/>
    <col min="15100" max="15101" width="9.42578125" style="182" customWidth="1"/>
    <col min="15102" max="15102" width="11.140625" style="182" customWidth="1"/>
    <col min="15103" max="15105" width="8.5703125" style="182" customWidth="1"/>
    <col min="15106" max="15106" width="32.140625" style="182" customWidth="1"/>
    <col min="15107" max="15107" width="8" style="182" hidden="1" customWidth="1"/>
    <col min="15108" max="15351" width="9.140625" style="182"/>
    <col min="15352" max="15352" width="5.5703125" style="182" customWidth="1"/>
    <col min="15353" max="15353" width="32" style="182" customWidth="1"/>
    <col min="15354" max="15355" width="9.85546875" style="182" customWidth="1"/>
    <col min="15356" max="15357" width="9.42578125" style="182" customWidth="1"/>
    <col min="15358" max="15358" width="11.140625" style="182" customWidth="1"/>
    <col min="15359" max="15361" width="8.5703125" style="182" customWidth="1"/>
    <col min="15362" max="15362" width="32.140625" style="182" customWidth="1"/>
    <col min="15363" max="15363" width="8" style="182" hidden="1" customWidth="1"/>
    <col min="15364" max="15607" width="9.140625" style="182"/>
    <col min="15608" max="15608" width="5.5703125" style="182" customWidth="1"/>
    <col min="15609" max="15609" width="32" style="182" customWidth="1"/>
    <col min="15610" max="15611" width="9.85546875" style="182" customWidth="1"/>
    <col min="15612" max="15613" width="9.42578125" style="182" customWidth="1"/>
    <col min="15614" max="15614" width="11.140625" style="182" customWidth="1"/>
    <col min="15615" max="15617" width="8.5703125" style="182" customWidth="1"/>
    <col min="15618" max="15618" width="32.140625" style="182" customWidth="1"/>
    <col min="15619" max="15619" width="8" style="182" hidden="1" customWidth="1"/>
    <col min="15620" max="15863" width="9.140625" style="182"/>
    <col min="15864" max="15864" width="5.5703125" style="182" customWidth="1"/>
    <col min="15865" max="15865" width="32" style="182" customWidth="1"/>
    <col min="15866" max="15867" width="9.85546875" style="182" customWidth="1"/>
    <col min="15868" max="15869" width="9.42578125" style="182" customWidth="1"/>
    <col min="15870" max="15870" width="11.140625" style="182" customWidth="1"/>
    <col min="15871" max="15873" width="8.5703125" style="182" customWidth="1"/>
    <col min="15874" max="15874" width="32.140625" style="182" customWidth="1"/>
    <col min="15875" max="15875" width="8" style="182" hidden="1" customWidth="1"/>
    <col min="15876" max="16119" width="9.140625" style="182"/>
    <col min="16120" max="16120" width="5.5703125" style="182" customWidth="1"/>
    <col min="16121" max="16121" width="32" style="182" customWidth="1"/>
    <col min="16122" max="16123" width="9.85546875" style="182" customWidth="1"/>
    <col min="16124" max="16125" width="9.42578125" style="182" customWidth="1"/>
    <col min="16126" max="16126" width="11.140625" style="182" customWidth="1"/>
    <col min="16127" max="16129" width="8.5703125" style="182" customWidth="1"/>
    <col min="16130" max="16130" width="32.140625" style="182" customWidth="1"/>
    <col min="16131" max="16131" width="8" style="182" hidden="1" customWidth="1"/>
    <col min="16132" max="16384" width="9.140625" style="182"/>
  </cols>
  <sheetData>
    <row r="1" spans="1:14" s="63" customFormat="1" ht="15" customHeight="1" x14ac:dyDescent="0.2">
      <c r="A1" s="21" t="s">
        <v>63</v>
      </c>
      <c r="D1" s="310"/>
    </row>
    <row r="2" spans="1:14" s="63" customFormat="1" ht="34.5" customHeight="1" x14ac:dyDescent="0.2">
      <c r="A2" s="593" t="s">
        <v>100</v>
      </c>
      <c r="B2" s="647"/>
      <c r="C2" s="647"/>
      <c r="D2" s="647"/>
      <c r="E2" s="647"/>
      <c r="F2" s="647"/>
      <c r="G2" s="647"/>
      <c r="H2" s="647"/>
      <c r="I2" s="647"/>
      <c r="J2" s="647"/>
    </row>
    <row r="3" spans="1:14" s="63" customFormat="1" ht="13.5" thickBot="1" x14ac:dyDescent="0.25">
      <c r="A3" s="64"/>
      <c r="B3" s="64"/>
      <c r="C3" s="65"/>
      <c r="D3" s="311"/>
      <c r="E3" s="170"/>
      <c r="J3" s="65" t="s">
        <v>101</v>
      </c>
    </row>
    <row r="4" spans="1:14" s="63" customFormat="1" ht="24" customHeight="1" x14ac:dyDescent="0.2">
      <c r="A4" s="648" t="s">
        <v>142</v>
      </c>
      <c r="B4" s="531"/>
      <c r="C4" s="650" t="s">
        <v>102</v>
      </c>
      <c r="D4" s="652" t="s">
        <v>463</v>
      </c>
      <c r="E4" s="650" t="s">
        <v>462</v>
      </c>
      <c r="F4" s="654" t="s">
        <v>103</v>
      </c>
      <c r="G4" s="654"/>
      <c r="H4" s="654"/>
      <c r="I4" s="655"/>
      <c r="J4" s="656"/>
    </row>
    <row r="5" spans="1:14" s="63" customFormat="1" ht="24" customHeight="1" thickBot="1" x14ac:dyDescent="0.25">
      <c r="A5" s="649"/>
      <c r="B5" s="532"/>
      <c r="C5" s="651"/>
      <c r="D5" s="653"/>
      <c r="E5" s="651"/>
      <c r="F5" s="62" t="s">
        <v>255</v>
      </c>
      <c r="G5" s="62" t="s">
        <v>309</v>
      </c>
      <c r="H5" s="62" t="s">
        <v>456</v>
      </c>
      <c r="I5" s="62" t="s">
        <v>468</v>
      </c>
      <c r="J5" s="558" t="s">
        <v>528</v>
      </c>
    </row>
    <row r="6" spans="1:14" s="66" customFormat="1" ht="18" customHeight="1" x14ac:dyDescent="0.2">
      <c r="A6" s="523" t="s">
        <v>154</v>
      </c>
      <c r="B6" s="78"/>
      <c r="C6" s="78"/>
      <c r="D6" s="318" t="s">
        <v>341</v>
      </c>
      <c r="E6" s="78"/>
      <c r="F6" s="315" t="s">
        <v>341</v>
      </c>
      <c r="G6" s="315" t="s">
        <v>341</v>
      </c>
      <c r="H6" s="315" t="s">
        <v>341</v>
      </c>
      <c r="I6" s="315"/>
      <c r="J6" s="316"/>
      <c r="K6" s="80"/>
      <c r="L6" s="80"/>
      <c r="M6" s="80"/>
      <c r="N6" s="80"/>
    </row>
    <row r="7" spans="1:14" s="66" customFormat="1" ht="15" customHeight="1" x14ac:dyDescent="0.2">
      <c r="A7" s="149" t="s">
        <v>476</v>
      </c>
      <c r="B7" s="173" t="s">
        <v>530</v>
      </c>
      <c r="C7" s="69">
        <v>59185</v>
      </c>
      <c r="D7" s="181">
        <v>9.9999999999999978E-2</v>
      </c>
      <c r="E7" s="174" t="s">
        <v>571</v>
      </c>
      <c r="F7" s="175">
        <v>1600</v>
      </c>
      <c r="G7" s="175">
        <v>1600</v>
      </c>
      <c r="H7" s="175">
        <v>0</v>
      </c>
      <c r="I7" s="557">
        <v>0</v>
      </c>
      <c r="J7" s="176">
        <v>0</v>
      </c>
      <c r="K7" s="80"/>
      <c r="L7" s="80"/>
      <c r="M7" s="80"/>
      <c r="N7" s="80"/>
    </row>
    <row r="8" spans="1:14" s="66" customFormat="1" ht="24.75" customHeight="1" thickBot="1" x14ac:dyDescent="0.25">
      <c r="A8" s="149" t="s">
        <v>477</v>
      </c>
      <c r="B8" s="173" t="s">
        <v>531</v>
      </c>
      <c r="C8" s="69">
        <v>10693</v>
      </c>
      <c r="D8" s="181">
        <v>9.9999999999999978E-2</v>
      </c>
      <c r="E8" s="174" t="s">
        <v>571</v>
      </c>
      <c r="F8" s="175">
        <v>1438</v>
      </c>
      <c r="G8" s="175">
        <v>1438</v>
      </c>
      <c r="H8" s="175">
        <v>0</v>
      </c>
      <c r="I8" s="557">
        <v>0</v>
      </c>
      <c r="J8" s="176">
        <v>0</v>
      </c>
      <c r="K8" s="80"/>
      <c r="L8" s="80"/>
      <c r="M8" s="80"/>
      <c r="N8" s="80"/>
    </row>
    <row r="9" spans="1:14" s="66" customFormat="1" ht="27.75" customHeight="1" thickBot="1" x14ac:dyDescent="0.25">
      <c r="A9" s="74" t="s">
        <v>155</v>
      </c>
      <c r="B9" s="156"/>
      <c r="C9" s="172" t="s">
        <v>6</v>
      </c>
      <c r="D9" s="172" t="s">
        <v>6</v>
      </c>
      <c r="E9" s="172" t="s">
        <v>6</v>
      </c>
      <c r="F9" s="71">
        <f>SUM(F7:F8)</f>
        <v>3038</v>
      </c>
      <c r="G9" s="71">
        <f t="shared" ref="G9:J9" si="0">SUM(G7:G8)</f>
        <v>3038</v>
      </c>
      <c r="H9" s="71">
        <f t="shared" si="0"/>
        <v>0</v>
      </c>
      <c r="I9" s="71">
        <f t="shared" si="0"/>
        <v>0</v>
      </c>
      <c r="J9" s="317">
        <f t="shared" si="0"/>
        <v>0</v>
      </c>
      <c r="K9" s="80"/>
      <c r="L9" s="80"/>
      <c r="M9" s="80"/>
      <c r="N9" s="80"/>
    </row>
    <row r="10" spans="1:14" s="66" customFormat="1" ht="18" customHeight="1" x14ac:dyDescent="0.2">
      <c r="A10" s="312" t="s">
        <v>104</v>
      </c>
      <c r="B10" s="313"/>
      <c r="C10" s="313"/>
      <c r="D10" s="320" t="s">
        <v>341</v>
      </c>
      <c r="E10" s="321"/>
      <c r="F10" s="315" t="s">
        <v>341</v>
      </c>
      <c r="G10" s="315" t="s">
        <v>341</v>
      </c>
      <c r="H10" s="315" t="s">
        <v>341</v>
      </c>
      <c r="I10" s="315"/>
      <c r="J10" s="316"/>
      <c r="K10" s="80"/>
      <c r="L10" s="80"/>
      <c r="M10" s="80"/>
      <c r="N10" s="80"/>
    </row>
    <row r="11" spans="1:14" s="66" customFormat="1" ht="15.75" customHeight="1" thickBot="1" x14ac:dyDescent="0.25">
      <c r="A11" s="149" t="s">
        <v>526</v>
      </c>
      <c r="B11" s="173" t="s">
        <v>775</v>
      </c>
      <c r="C11" s="69">
        <v>89000</v>
      </c>
      <c r="D11" s="181">
        <v>9.9999999999999978E-2</v>
      </c>
      <c r="E11" s="174" t="s">
        <v>468</v>
      </c>
      <c r="F11" s="175">
        <v>0</v>
      </c>
      <c r="G11" s="175">
        <v>0</v>
      </c>
      <c r="H11" s="175">
        <v>0</v>
      </c>
      <c r="I11" s="559">
        <v>0</v>
      </c>
      <c r="J11" s="560">
        <v>12000</v>
      </c>
      <c r="K11" s="80"/>
      <c r="L11" s="80"/>
      <c r="M11" s="80"/>
      <c r="N11" s="80"/>
    </row>
    <row r="12" spans="1:14" s="66" customFormat="1" ht="15.75" customHeight="1" thickBot="1" x14ac:dyDescent="0.25">
      <c r="A12" s="74" t="s">
        <v>894</v>
      </c>
      <c r="B12" s="156"/>
      <c r="C12" s="172" t="s">
        <v>6</v>
      </c>
      <c r="D12" s="172" t="s">
        <v>6</v>
      </c>
      <c r="E12" s="172" t="s">
        <v>6</v>
      </c>
      <c r="F12" s="71">
        <f>SUM(F11:F11)</f>
        <v>0</v>
      </c>
      <c r="G12" s="71">
        <f>SUM(G11:G11)</f>
        <v>0</v>
      </c>
      <c r="H12" s="71">
        <f>SUM(H11:H11)</f>
        <v>0</v>
      </c>
      <c r="I12" s="71">
        <f>SUM(I11:I11)</f>
        <v>0</v>
      </c>
      <c r="J12" s="317">
        <f>SUM(J11:J11)</f>
        <v>12000</v>
      </c>
      <c r="K12" s="80"/>
      <c r="L12" s="80"/>
      <c r="M12" s="80"/>
      <c r="N12" s="80"/>
    </row>
    <row r="13" spans="1:14" s="66" customFormat="1" ht="18" customHeight="1" x14ac:dyDescent="0.2">
      <c r="A13" s="312" t="s">
        <v>798</v>
      </c>
      <c r="B13" s="313"/>
      <c r="C13" s="313"/>
      <c r="D13" s="314" t="s">
        <v>341</v>
      </c>
      <c r="E13" s="313"/>
      <c r="F13" s="315" t="s">
        <v>341</v>
      </c>
      <c r="G13" s="315" t="s">
        <v>341</v>
      </c>
      <c r="H13" s="315" t="s">
        <v>341</v>
      </c>
      <c r="I13" s="315"/>
      <c r="J13" s="316"/>
      <c r="K13" s="80"/>
      <c r="L13" s="80"/>
      <c r="M13" s="80"/>
      <c r="N13" s="80"/>
    </row>
    <row r="14" spans="1:14" s="66" customFormat="1" ht="15.75" customHeight="1" thickBot="1" x14ac:dyDescent="0.25">
      <c r="A14" s="149" t="s">
        <v>469</v>
      </c>
      <c r="B14" s="173" t="s">
        <v>529</v>
      </c>
      <c r="C14" s="69">
        <v>87136</v>
      </c>
      <c r="D14" s="181">
        <v>9.9999999999999978E-2</v>
      </c>
      <c r="E14" s="174" t="s">
        <v>342</v>
      </c>
      <c r="F14" s="175">
        <v>0</v>
      </c>
      <c r="G14" s="175">
        <v>14600</v>
      </c>
      <c r="H14" s="175">
        <v>14600</v>
      </c>
      <c r="I14" s="559">
        <v>14600</v>
      </c>
      <c r="J14" s="560">
        <v>29260</v>
      </c>
      <c r="K14" s="80"/>
      <c r="L14" s="80"/>
      <c r="M14" s="80"/>
      <c r="N14" s="80"/>
    </row>
    <row r="15" spans="1:14" s="66" customFormat="1" ht="15.75" customHeight="1" thickBot="1" x14ac:dyDescent="0.25">
      <c r="A15" s="74" t="s">
        <v>787</v>
      </c>
      <c r="B15" s="156"/>
      <c r="C15" s="172" t="s">
        <v>6</v>
      </c>
      <c r="D15" s="172" t="s">
        <v>6</v>
      </c>
      <c r="E15" s="172" t="s">
        <v>6</v>
      </c>
      <c r="F15" s="71">
        <f>SUM(F14)</f>
        <v>0</v>
      </c>
      <c r="G15" s="71">
        <f t="shared" ref="G15:J15" si="1">SUM(G14)</f>
        <v>14600</v>
      </c>
      <c r="H15" s="71">
        <f t="shared" si="1"/>
        <v>14600</v>
      </c>
      <c r="I15" s="71">
        <f t="shared" si="1"/>
        <v>14600</v>
      </c>
      <c r="J15" s="317">
        <f t="shared" si="1"/>
        <v>29260</v>
      </c>
      <c r="K15" s="80"/>
      <c r="L15" s="80"/>
      <c r="M15" s="80"/>
      <c r="N15" s="80"/>
    </row>
    <row r="16" spans="1:14" s="66" customFormat="1" ht="18" customHeight="1" x14ac:dyDescent="0.2">
      <c r="A16" s="523" t="s">
        <v>147</v>
      </c>
      <c r="B16" s="78"/>
      <c r="C16" s="78"/>
      <c r="D16" s="318" t="s">
        <v>341</v>
      </c>
      <c r="E16" s="78"/>
      <c r="F16" s="315" t="s">
        <v>341</v>
      </c>
      <c r="G16" s="315" t="s">
        <v>341</v>
      </c>
      <c r="H16" s="315" t="s">
        <v>341</v>
      </c>
      <c r="I16" s="315"/>
      <c r="J16" s="316"/>
      <c r="K16" s="80"/>
      <c r="L16" s="80"/>
      <c r="M16" s="80"/>
      <c r="N16" s="80"/>
    </row>
    <row r="17" spans="1:14" s="66" customFormat="1" ht="15" customHeight="1" x14ac:dyDescent="0.2">
      <c r="A17" s="149" t="s">
        <v>157</v>
      </c>
      <c r="B17" s="173">
        <v>3208</v>
      </c>
      <c r="C17" s="69">
        <v>95000</v>
      </c>
      <c r="D17" s="181">
        <v>0.15000000000000002</v>
      </c>
      <c r="E17" s="174" t="s">
        <v>348</v>
      </c>
      <c r="F17" s="175">
        <v>0</v>
      </c>
      <c r="G17" s="175">
        <v>0</v>
      </c>
      <c r="H17" s="175">
        <v>4000</v>
      </c>
      <c r="I17" s="175">
        <v>4000</v>
      </c>
      <c r="J17" s="560">
        <v>12000</v>
      </c>
      <c r="K17" s="80"/>
      <c r="L17" s="80"/>
      <c r="M17" s="80"/>
      <c r="N17" s="80"/>
    </row>
    <row r="18" spans="1:14" s="66" customFormat="1" ht="15" customHeight="1" x14ac:dyDescent="0.2">
      <c r="A18" s="149" t="s">
        <v>158</v>
      </c>
      <c r="B18" s="173">
        <v>3207</v>
      </c>
      <c r="C18" s="69">
        <v>100000</v>
      </c>
      <c r="D18" s="181">
        <v>0.15000000000000002</v>
      </c>
      <c r="E18" s="174" t="s">
        <v>348</v>
      </c>
      <c r="F18" s="175">
        <v>0</v>
      </c>
      <c r="G18" s="175">
        <v>0</v>
      </c>
      <c r="H18" s="175">
        <v>2500</v>
      </c>
      <c r="I18" s="175">
        <v>2500</v>
      </c>
      <c r="J18" s="560">
        <v>7500</v>
      </c>
      <c r="K18" s="80"/>
      <c r="L18" s="80"/>
      <c r="M18" s="80"/>
      <c r="N18" s="80"/>
    </row>
    <row r="19" spans="1:14" s="66" customFormat="1" ht="15" customHeight="1" thickBot="1" x14ac:dyDescent="0.25">
      <c r="A19" s="149" t="s">
        <v>156</v>
      </c>
      <c r="B19" s="173" t="s">
        <v>532</v>
      </c>
      <c r="C19" s="69">
        <v>200000</v>
      </c>
      <c r="D19" s="181">
        <v>0.15000000000000002</v>
      </c>
      <c r="E19" s="174" t="s">
        <v>347</v>
      </c>
      <c r="F19" s="175">
        <v>0</v>
      </c>
      <c r="G19" s="175">
        <v>0</v>
      </c>
      <c r="H19" s="175">
        <v>406</v>
      </c>
      <c r="I19" s="175">
        <v>406</v>
      </c>
      <c r="J19" s="560">
        <v>1218</v>
      </c>
      <c r="K19" s="80"/>
      <c r="L19" s="80"/>
      <c r="M19" s="80"/>
      <c r="N19" s="80"/>
    </row>
    <row r="20" spans="1:14" s="66" customFormat="1" ht="15.75" customHeight="1" thickBot="1" x14ac:dyDescent="0.25">
      <c r="A20" s="74" t="s">
        <v>148</v>
      </c>
      <c r="B20" s="156"/>
      <c r="C20" s="172" t="s">
        <v>6</v>
      </c>
      <c r="D20" s="172" t="s">
        <v>6</v>
      </c>
      <c r="E20" s="172" t="s">
        <v>6</v>
      </c>
      <c r="F20" s="71">
        <f>SUM(F17:F19)</f>
        <v>0</v>
      </c>
      <c r="G20" s="71">
        <f>SUM(G17:G19)</f>
        <v>0</v>
      </c>
      <c r="H20" s="71">
        <f>SUM(H17:H19)</f>
        <v>6906</v>
      </c>
      <c r="I20" s="71">
        <f>SUM(I17:I19)</f>
        <v>6906</v>
      </c>
      <c r="J20" s="317">
        <f>SUM(J17:J19)</f>
        <v>20718</v>
      </c>
      <c r="K20" s="80"/>
      <c r="L20" s="80"/>
      <c r="M20" s="80"/>
      <c r="N20" s="80"/>
    </row>
    <row r="21" spans="1:14" s="66" customFormat="1" ht="18" customHeight="1" x14ac:dyDescent="0.2">
      <c r="A21" s="312" t="s">
        <v>107</v>
      </c>
      <c r="B21" s="313"/>
      <c r="C21" s="313"/>
      <c r="D21" s="320" t="s">
        <v>341</v>
      </c>
      <c r="E21" s="321"/>
      <c r="F21" s="315" t="s">
        <v>341</v>
      </c>
      <c r="G21" s="315" t="s">
        <v>341</v>
      </c>
      <c r="H21" s="315" t="s">
        <v>341</v>
      </c>
      <c r="I21" s="315"/>
      <c r="J21" s="316"/>
      <c r="K21" s="80"/>
      <c r="L21" s="80"/>
      <c r="M21" s="80"/>
      <c r="N21" s="80"/>
    </row>
    <row r="22" spans="1:14" s="66" customFormat="1" ht="24" customHeight="1" x14ac:dyDescent="0.2">
      <c r="A22" s="149" t="s">
        <v>344</v>
      </c>
      <c r="B22" s="173" t="s">
        <v>533</v>
      </c>
      <c r="C22" s="69">
        <v>30177.56</v>
      </c>
      <c r="D22" s="181">
        <v>9.9999999999999978E-2</v>
      </c>
      <c r="E22" s="174" t="s">
        <v>346</v>
      </c>
      <c r="F22" s="175">
        <v>400</v>
      </c>
      <c r="G22" s="175">
        <v>400</v>
      </c>
      <c r="H22" s="175">
        <v>400</v>
      </c>
      <c r="I22" s="83">
        <v>400</v>
      </c>
      <c r="J22" s="560">
        <v>400</v>
      </c>
      <c r="K22" s="80"/>
      <c r="L22" s="80"/>
      <c r="M22" s="80"/>
      <c r="N22" s="80"/>
    </row>
    <row r="23" spans="1:14" s="66" customFormat="1" ht="15" customHeight="1" x14ac:dyDescent="0.2">
      <c r="A23" s="149" t="s">
        <v>258</v>
      </c>
      <c r="B23" s="173">
        <v>3250</v>
      </c>
      <c r="C23" s="69">
        <v>41182</v>
      </c>
      <c r="D23" s="181">
        <v>9.9999999999999978E-2</v>
      </c>
      <c r="E23" s="174" t="s">
        <v>572</v>
      </c>
      <c r="F23" s="175">
        <v>620</v>
      </c>
      <c r="G23" s="175">
        <v>620</v>
      </c>
      <c r="H23" s="175">
        <v>620</v>
      </c>
      <c r="I23" s="83">
        <v>620</v>
      </c>
      <c r="J23" s="560">
        <v>0</v>
      </c>
      <c r="K23" s="80"/>
      <c r="L23" s="80"/>
      <c r="M23" s="80"/>
      <c r="N23" s="80"/>
    </row>
    <row r="24" spans="1:14" s="66" customFormat="1" ht="15" customHeight="1" x14ac:dyDescent="0.2">
      <c r="A24" s="149" t="s">
        <v>478</v>
      </c>
      <c r="B24" s="173">
        <v>3253</v>
      </c>
      <c r="C24" s="69">
        <v>34842</v>
      </c>
      <c r="D24" s="181">
        <v>9.9999999999999978E-2</v>
      </c>
      <c r="E24" s="174" t="s">
        <v>109</v>
      </c>
      <c r="F24" s="175">
        <v>400</v>
      </c>
      <c r="G24" s="175">
        <v>400</v>
      </c>
      <c r="H24" s="175">
        <v>400</v>
      </c>
      <c r="I24" s="83">
        <v>400</v>
      </c>
      <c r="J24" s="560">
        <v>0</v>
      </c>
      <c r="K24" s="80"/>
      <c r="L24" s="80"/>
      <c r="M24" s="80"/>
      <c r="N24" s="80"/>
    </row>
    <row r="25" spans="1:14" s="66" customFormat="1" ht="15" customHeight="1" x14ac:dyDescent="0.2">
      <c r="A25" s="149" t="s">
        <v>479</v>
      </c>
      <c r="B25" s="173" t="s">
        <v>534</v>
      </c>
      <c r="C25" s="69">
        <v>51148</v>
      </c>
      <c r="D25" s="181">
        <v>9.9999999999999978E-2</v>
      </c>
      <c r="E25" s="174" t="s">
        <v>571</v>
      </c>
      <c r="F25" s="175">
        <v>360</v>
      </c>
      <c r="G25" s="175">
        <v>360</v>
      </c>
      <c r="H25" s="175">
        <v>360</v>
      </c>
      <c r="I25" s="559">
        <v>0</v>
      </c>
      <c r="J25" s="560">
        <v>0</v>
      </c>
      <c r="K25" s="80"/>
      <c r="L25" s="80"/>
      <c r="M25" s="80"/>
      <c r="N25" s="80"/>
    </row>
    <row r="26" spans="1:14" s="66" customFormat="1" ht="15" customHeight="1" x14ac:dyDescent="0.2">
      <c r="A26" s="149" t="s">
        <v>110</v>
      </c>
      <c r="B26" s="173" t="s">
        <v>535</v>
      </c>
      <c r="C26" s="69">
        <v>112804</v>
      </c>
      <c r="D26" s="181">
        <v>9.9999999999999978E-2</v>
      </c>
      <c r="E26" s="174" t="s">
        <v>343</v>
      </c>
      <c r="F26" s="175">
        <v>3800</v>
      </c>
      <c r="G26" s="175">
        <v>3800</v>
      </c>
      <c r="H26" s="175">
        <v>3800</v>
      </c>
      <c r="I26" s="175">
        <v>3800</v>
      </c>
      <c r="J26" s="560">
        <v>0</v>
      </c>
      <c r="K26" s="80"/>
      <c r="L26" s="80"/>
      <c r="M26" s="80"/>
      <c r="N26" s="80"/>
    </row>
    <row r="27" spans="1:14" s="66" customFormat="1" ht="15" customHeight="1" x14ac:dyDescent="0.2">
      <c r="A27" s="149" t="s">
        <v>108</v>
      </c>
      <c r="B27" s="173" t="s">
        <v>536</v>
      </c>
      <c r="C27" s="69">
        <v>174000</v>
      </c>
      <c r="D27" s="181">
        <v>9.9999999999999978E-2</v>
      </c>
      <c r="E27" s="174" t="s">
        <v>572</v>
      </c>
      <c r="F27" s="175">
        <v>7434</v>
      </c>
      <c r="G27" s="175">
        <v>7434</v>
      </c>
      <c r="H27" s="175">
        <v>7434</v>
      </c>
      <c r="I27" s="175">
        <v>7434</v>
      </c>
      <c r="J27" s="560">
        <v>0</v>
      </c>
      <c r="K27" s="80"/>
      <c r="L27" s="80"/>
      <c r="M27" s="80"/>
      <c r="N27" s="80"/>
    </row>
    <row r="28" spans="1:14" s="66" customFormat="1" ht="15" customHeight="1" x14ac:dyDescent="0.2">
      <c r="A28" s="149" t="s">
        <v>111</v>
      </c>
      <c r="B28" s="173" t="s">
        <v>537</v>
      </c>
      <c r="C28" s="69">
        <v>25574</v>
      </c>
      <c r="D28" s="181">
        <v>9.9999999999999978E-2</v>
      </c>
      <c r="E28" s="174" t="s">
        <v>572</v>
      </c>
      <c r="F28" s="175">
        <v>1650</v>
      </c>
      <c r="G28" s="175">
        <v>1650</v>
      </c>
      <c r="H28" s="175">
        <v>1650</v>
      </c>
      <c r="I28" s="175">
        <v>1650</v>
      </c>
      <c r="J28" s="560">
        <v>0</v>
      </c>
      <c r="K28" s="80"/>
      <c r="L28" s="80"/>
      <c r="M28" s="80"/>
      <c r="N28" s="80"/>
    </row>
    <row r="29" spans="1:14" s="66" customFormat="1" ht="15" customHeight="1" x14ac:dyDescent="0.2">
      <c r="A29" s="149" t="s">
        <v>317</v>
      </c>
      <c r="B29" s="173" t="s">
        <v>538</v>
      </c>
      <c r="C29" s="69">
        <v>19194</v>
      </c>
      <c r="D29" s="540">
        <v>9.9999999999999978E-2</v>
      </c>
      <c r="E29" s="174" t="s">
        <v>342</v>
      </c>
      <c r="F29" s="175">
        <v>1250</v>
      </c>
      <c r="G29" s="175">
        <v>2500</v>
      </c>
      <c r="H29" s="175">
        <v>2500</v>
      </c>
      <c r="I29" s="175">
        <v>2500</v>
      </c>
      <c r="J29" s="560">
        <v>3750</v>
      </c>
      <c r="K29" s="80"/>
      <c r="L29" s="80"/>
      <c r="M29" s="80"/>
      <c r="N29" s="80"/>
    </row>
    <row r="30" spans="1:14" s="66" customFormat="1" ht="15.75" customHeight="1" thickBot="1" x14ac:dyDescent="0.25">
      <c r="A30" s="149" t="s">
        <v>159</v>
      </c>
      <c r="B30" s="173" t="s">
        <v>539</v>
      </c>
      <c r="C30" s="69">
        <v>51296</v>
      </c>
      <c r="D30" s="181">
        <v>9.9999999999999978E-2</v>
      </c>
      <c r="E30" s="174" t="s">
        <v>573</v>
      </c>
      <c r="F30" s="175">
        <v>1940</v>
      </c>
      <c r="G30" s="175">
        <v>1940</v>
      </c>
      <c r="H30" s="175">
        <v>1940</v>
      </c>
      <c r="I30" s="175">
        <v>1940</v>
      </c>
      <c r="J30" s="560">
        <v>1940</v>
      </c>
      <c r="K30" s="80"/>
      <c r="L30" s="80"/>
      <c r="M30" s="80"/>
      <c r="N30" s="80"/>
    </row>
    <row r="31" spans="1:14" s="66" customFormat="1" ht="15.75" customHeight="1" thickBot="1" x14ac:dyDescent="0.25">
      <c r="A31" s="74" t="s">
        <v>112</v>
      </c>
      <c r="B31" s="156"/>
      <c r="C31" s="172" t="s">
        <v>6</v>
      </c>
      <c r="D31" s="172" t="s">
        <v>6</v>
      </c>
      <c r="E31" s="172" t="s">
        <v>6</v>
      </c>
      <c r="F31" s="71">
        <f>SUM(F22:F30)</f>
        <v>17854</v>
      </c>
      <c r="G31" s="71">
        <f t="shared" ref="G31:J31" si="2">SUM(G22:G30)</f>
        <v>19104</v>
      </c>
      <c r="H31" s="71">
        <f t="shared" si="2"/>
        <v>19104</v>
      </c>
      <c r="I31" s="71">
        <f t="shared" si="2"/>
        <v>18744</v>
      </c>
      <c r="J31" s="317">
        <f t="shared" si="2"/>
        <v>6090</v>
      </c>
      <c r="K31" s="80"/>
      <c r="L31" s="80"/>
      <c r="M31" s="80"/>
      <c r="N31" s="80"/>
    </row>
    <row r="32" spans="1:14" s="66" customFormat="1" ht="18" customHeight="1" x14ac:dyDescent="0.2">
      <c r="A32" s="312" t="s">
        <v>113</v>
      </c>
      <c r="B32" s="313"/>
      <c r="C32" s="313"/>
      <c r="D32" s="320" t="s">
        <v>341</v>
      </c>
      <c r="E32" s="321"/>
      <c r="F32" s="315" t="s">
        <v>341</v>
      </c>
      <c r="G32" s="315" t="s">
        <v>341</v>
      </c>
      <c r="H32" s="315" t="s">
        <v>341</v>
      </c>
      <c r="I32" s="315"/>
      <c r="J32" s="316"/>
      <c r="K32" s="80"/>
      <c r="L32" s="80"/>
      <c r="M32" s="80"/>
      <c r="N32" s="80"/>
    </row>
    <row r="33" spans="1:14" s="66" customFormat="1" ht="15.75" customHeight="1" thickBot="1" x14ac:dyDescent="0.25">
      <c r="A33" s="149" t="s">
        <v>480</v>
      </c>
      <c r="B33" s="173" t="s">
        <v>540</v>
      </c>
      <c r="C33" s="69">
        <v>3733</v>
      </c>
      <c r="D33" s="181">
        <v>9.9999999999999978E-2</v>
      </c>
      <c r="E33" s="174" t="s">
        <v>571</v>
      </c>
      <c r="F33" s="175">
        <v>60</v>
      </c>
      <c r="G33" s="175">
        <v>60</v>
      </c>
      <c r="H33" s="175">
        <v>60</v>
      </c>
      <c r="I33" s="557">
        <v>0</v>
      </c>
      <c r="J33" s="176">
        <v>0</v>
      </c>
      <c r="K33" s="80"/>
      <c r="L33" s="80"/>
      <c r="M33" s="80"/>
      <c r="N33" s="80"/>
    </row>
    <row r="34" spans="1:14" s="66" customFormat="1" ht="15.75" customHeight="1" thickBot="1" x14ac:dyDescent="0.25">
      <c r="A34" s="74" t="s">
        <v>115</v>
      </c>
      <c r="B34" s="156"/>
      <c r="C34" s="172" t="s">
        <v>6</v>
      </c>
      <c r="D34" s="172" t="s">
        <v>6</v>
      </c>
      <c r="E34" s="172" t="s">
        <v>6</v>
      </c>
      <c r="F34" s="71">
        <f>SUM(F33:F33)</f>
        <v>60</v>
      </c>
      <c r="G34" s="71">
        <f>SUM(G33:G33)</f>
        <v>60</v>
      </c>
      <c r="H34" s="71">
        <f>SUM(H33:H33)</f>
        <v>60</v>
      </c>
      <c r="I34" s="71">
        <f>SUM(I33:I33)</f>
        <v>0</v>
      </c>
      <c r="J34" s="317">
        <f>SUM(J33:J33)</f>
        <v>0</v>
      </c>
      <c r="K34" s="80"/>
      <c r="L34" s="80"/>
      <c r="M34" s="80"/>
      <c r="N34" s="80"/>
    </row>
    <row r="35" spans="1:14" s="66" customFormat="1" ht="18" customHeight="1" x14ac:dyDescent="0.2">
      <c r="A35" s="312" t="s">
        <v>118</v>
      </c>
      <c r="B35" s="313"/>
      <c r="C35" s="313"/>
      <c r="D35" s="320" t="s">
        <v>341</v>
      </c>
      <c r="E35" s="321"/>
      <c r="F35" s="315" t="s">
        <v>341</v>
      </c>
      <c r="G35" s="315" t="s">
        <v>341</v>
      </c>
      <c r="H35" s="315" t="s">
        <v>341</v>
      </c>
      <c r="I35" s="315"/>
      <c r="J35" s="316"/>
      <c r="K35" s="80"/>
      <c r="L35" s="80"/>
      <c r="M35" s="80"/>
      <c r="N35" s="80"/>
    </row>
    <row r="36" spans="1:14" s="66" customFormat="1" ht="15" customHeight="1" x14ac:dyDescent="0.2">
      <c r="A36" s="149" t="s">
        <v>482</v>
      </c>
      <c r="B36" s="173">
        <v>3213</v>
      </c>
      <c r="C36" s="69">
        <v>11157</v>
      </c>
      <c r="D36" s="181">
        <v>5.0000000000000044E-2</v>
      </c>
      <c r="E36" s="174" t="s">
        <v>571</v>
      </c>
      <c r="F36" s="175">
        <v>400</v>
      </c>
      <c r="G36" s="175">
        <v>400</v>
      </c>
      <c r="H36" s="175">
        <v>400</v>
      </c>
      <c r="I36" s="559">
        <v>0</v>
      </c>
      <c r="J36" s="560">
        <v>0</v>
      </c>
      <c r="K36" s="80"/>
      <c r="L36" s="80"/>
      <c r="M36" s="80"/>
      <c r="N36" s="80"/>
    </row>
    <row r="37" spans="1:14" s="66" customFormat="1" ht="15" customHeight="1" x14ac:dyDescent="0.2">
      <c r="A37" s="149" t="s">
        <v>483</v>
      </c>
      <c r="B37" s="173" t="s">
        <v>541</v>
      </c>
      <c r="C37" s="69">
        <v>4586</v>
      </c>
      <c r="D37" s="181">
        <v>9.9999999999999978E-2</v>
      </c>
      <c r="E37" s="174" t="s">
        <v>114</v>
      </c>
      <c r="F37" s="175">
        <v>261</v>
      </c>
      <c r="G37" s="175">
        <v>261</v>
      </c>
      <c r="H37" s="175">
        <v>260</v>
      </c>
      <c r="I37" s="559">
        <v>260</v>
      </c>
      <c r="J37" s="560">
        <v>261</v>
      </c>
      <c r="K37" s="80"/>
      <c r="L37" s="80"/>
      <c r="M37" s="80"/>
      <c r="N37" s="80"/>
    </row>
    <row r="38" spans="1:14" s="66" customFormat="1" ht="15" customHeight="1" x14ac:dyDescent="0.2">
      <c r="A38" s="149" t="s">
        <v>484</v>
      </c>
      <c r="B38" s="173" t="s">
        <v>542</v>
      </c>
      <c r="C38" s="69">
        <v>7355</v>
      </c>
      <c r="D38" s="181">
        <v>9.9999999999999978E-2</v>
      </c>
      <c r="E38" s="174" t="s">
        <v>574</v>
      </c>
      <c r="F38" s="175">
        <v>620</v>
      </c>
      <c r="G38" s="175">
        <v>0</v>
      </c>
      <c r="H38" s="175">
        <v>0</v>
      </c>
      <c r="I38" s="559">
        <v>0</v>
      </c>
      <c r="J38" s="560">
        <v>0</v>
      </c>
      <c r="K38" s="80"/>
      <c r="L38" s="80"/>
      <c r="M38" s="80"/>
      <c r="N38" s="80"/>
    </row>
    <row r="39" spans="1:14" s="66" customFormat="1" ht="15" customHeight="1" x14ac:dyDescent="0.2">
      <c r="A39" s="149" t="s">
        <v>485</v>
      </c>
      <c r="B39" s="173" t="s">
        <v>543</v>
      </c>
      <c r="C39" s="69">
        <v>9913</v>
      </c>
      <c r="D39" s="181">
        <v>9.9999999999999978E-2</v>
      </c>
      <c r="E39" s="174" t="s">
        <v>105</v>
      </c>
      <c r="F39" s="175">
        <v>464</v>
      </c>
      <c r="G39" s="175">
        <v>464</v>
      </c>
      <c r="H39" s="175">
        <v>464</v>
      </c>
      <c r="I39" s="557">
        <v>0</v>
      </c>
      <c r="J39" s="560">
        <v>0</v>
      </c>
      <c r="K39" s="80"/>
      <c r="L39" s="80"/>
      <c r="M39" s="80"/>
      <c r="N39" s="80"/>
    </row>
    <row r="40" spans="1:14" s="66" customFormat="1" ht="24" customHeight="1" x14ac:dyDescent="0.2">
      <c r="A40" s="149" t="s">
        <v>120</v>
      </c>
      <c r="B40" s="173">
        <v>3210</v>
      </c>
      <c r="C40" s="69">
        <v>58000</v>
      </c>
      <c r="D40" s="181">
        <v>9.9999999999999978E-2</v>
      </c>
      <c r="E40" s="174" t="s">
        <v>572</v>
      </c>
      <c r="F40" s="175">
        <v>3079.5</v>
      </c>
      <c r="G40" s="175">
        <v>3079.5</v>
      </c>
      <c r="H40" s="175">
        <v>3079.5</v>
      </c>
      <c r="I40" s="175">
        <v>3079.5</v>
      </c>
      <c r="J40" s="560">
        <v>3079.5</v>
      </c>
      <c r="K40" s="80"/>
      <c r="L40" s="80"/>
      <c r="M40" s="80"/>
      <c r="N40" s="80"/>
    </row>
    <row r="41" spans="1:14" s="66" customFormat="1" ht="15" customHeight="1" x14ac:dyDescent="0.2">
      <c r="A41" s="149" t="s">
        <v>121</v>
      </c>
      <c r="B41" s="173">
        <v>3211</v>
      </c>
      <c r="C41" s="69">
        <v>27470</v>
      </c>
      <c r="D41" s="181">
        <v>9.9999999999999978E-2</v>
      </c>
      <c r="E41" s="174" t="s">
        <v>572</v>
      </c>
      <c r="F41" s="175">
        <v>3183.64</v>
      </c>
      <c r="G41" s="175">
        <v>3183.64</v>
      </c>
      <c r="H41" s="175">
        <v>3183.64</v>
      </c>
      <c r="I41" s="175">
        <v>3183.64</v>
      </c>
      <c r="J41" s="560">
        <v>3183.64</v>
      </c>
      <c r="K41" s="80"/>
      <c r="L41" s="80"/>
      <c r="M41" s="80"/>
      <c r="N41" s="80"/>
    </row>
    <row r="42" spans="1:14" s="66" customFormat="1" ht="24" customHeight="1" x14ac:dyDescent="0.2">
      <c r="A42" s="149" t="s">
        <v>122</v>
      </c>
      <c r="B42" s="173">
        <v>3209</v>
      </c>
      <c r="C42" s="69">
        <v>44000</v>
      </c>
      <c r="D42" s="181">
        <v>9.9999999999999978E-2</v>
      </c>
      <c r="E42" s="174" t="s">
        <v>572</v>
      </c>
      <c r="F42" s="175">
        <v>732</v>
      </c>
      <c r="G42" s="175">
        <v>732</v>
      </c>
      <c r="H42" s="175">
        <v>732</v>
      </c>
      <c r="I42" s="175">
        <v>732</v>
      </c>
      <c r="J42" s="560">
        <v>732</v>
      </c>
      <c r="K42" s="80"/>
      <c r="L42" s="80"/>
      <c r="M42" s="80"/>
      <c r="N42" s="80"/>
    </row>
    <row r="43" spans="1:14" s="66" customFormat="1" ht="24" customHeight="1" x14ac:dyDescent="0.2">
      <c r="A43" s="149" t="s">
        <v>123</v>
      </c>
      <c r="B43" s="173" t="s">
        <v>544</v>
      </c>
      <c r="C43" s="69">
        <v>50000</v>
      </c>
      <c r="D43" s="181">
        <v>9.9999999999999978E-2</v>
      </c>
      <c r="E43" s="174" t="s">
        <v>342</v>
      </c>
      <c r="F43" s="175">
        <v>0</v>
      </c>
      <c r="G43" s="175">
        <v>403.8</v>
      </c>
      <c r="H43" s="175">
        <v>403.8</v>
      </c>
      <c r="I43" s="175">
        <v>403.8</v>
      </c>
      <c r="J43" s="560">
        <v>403.8</v>
      </c>
      <c r="K43" s="80"/>
      <c r="L43" s="80"/>
      <c r="M43" s="80"/>
      <c r="N43" s="80"/>
    </row>
    <row r="44" spans="1:14" s="66" customFormat="1" ht="15" customHeight="1" x14ac:dyDescent="0.2">
      <c r="A44" s="149" t="s">
        <v>488</v>
      </c>
      <c r="B44" s="173" t="s">
        <v>545</v>
      </c>
      <c r="C44" s="69">
        <v>8671</v>
      </c>
      <c r="D44" s="181">
        <v>0.6</v>
      </c>
      <c r="E44" s="174" t="s">
        <v>575</v>
      </c>
      <c r="F44" s="175">
        <v>1416</v>
      </c>
      <c r="G44" s="175">
        <v>1416</v>
      </c>
      <c r="H44" s="175">
        <v>0</v>
      </c>
      <c r="I44" s="557">
        <v>0</v>
      </c>
      <c r="J44" s="560">
        <v>0</v>
      </c>
      <c r="K44" s="80"/>
      <c r="L44" s="80"/>
      <c r="M44" s="80"/>
      <c r="N44" s="80"/>
    </row>
    <row r="45" spans="1:14" s="66" customFormat="1" ht="24.75" customHeight="1" x14ac:dyDescent="0.2">
      <c r="A45" s="149" t="s">
        <v>489</v>
      </c>
      <c r="B45" s="173" t="s">
        <v>546</v>
      </c>
      <c r="C45" s="69">
        <v>2289</v>
      </c>
      <c r="D45" s="181">
        <v>0.6</v>
      </c>
      <c r="E45" s="174" t="s">
        <v>467</v>
      </c>
      <c r="F45" s="175">
        <v>3500</v>
      </c>
      <c r="G45" s="175">
        <v>3500</v>
      </c>
      <c r="H45" s="175">
        <v>0</v>
      </c>
      <c r="I45" s="557">
        <v>0</v>
      </c>
      <c r="J45" s="560">
        <v>0</v>
      </c>
      <c r="K45" s="80"/>
      <c r="L45" s="80"/>
      <c r="M45" s="80"/>
      <c r="N45" s="80"/>
    </row>
    <row r="46" spans="1:14" s="66" customFormat="1" ht="15" customHeight="1" x14ac:dyDescent="0.2">
      <c r="A46" s="149" t="s">
        <v>119</v>
      </c>
      <c r="B46" s="173" t="s">
        <v>547</v>
      </c>
      <c r="C46" s="69">
        <v>39000</v>
      </c>
      <c r="D46" s="181">
        <v>9.9999999999999978E-2</v>
      </c>
      <c r="E46" s="174" t="s">
        <v>348</v>
      </c>
      <c r="F46" s="175">
        <v>0</v>
      </c>
      <c r="G46" s="175">
        <v>0</v>
      </c>
      <c r="H46" s="175">
        <v>1416</v>
      </c>
      <c r="I46" s="175">
        <v>1416</v>
      </c>
      <c r="J46" s="560">
        <v>1416</v>
      </c>
      <c r="K46" s="80"/>
      <c r="L46" s="80"/>
      <c r="M46" s="80"/>
      <c r="N46" s="80"/>
    </row>
    <row r="47" spans="1:14" s="66" customFormat="1" ht="15.75" customHeight="1" thickBot="1" x14ac:dyDescent="0.25">
      <c r="A47" s="149" t="s">
        <v>149</v>
      </c>
      <c r="B47" s="173" t="s">
        <v>548</v>
      </c>
      <c r="C47" s="69">
        <v>366739</v>
      </c>
      <c r="D47" s="181">
        <v>0.35</v>
      </c>
      <c r="E47" s="174" t="s">
        <v>347</v>
      </c>
      <c r="F47" s="175">
        <v>0</v>
      </c>
      <c r="G47" s="175">
        <v>0</v>
      </c>
      <c r="H47" s="175">
        <v>6000</v>
      </c>
      <c r="I47" s="175">
        <v>6000</v>
      </c>
      <c r="J47" s="560">
        <v>18000</v>
      </c>
      <c r="K47" s="80"/>
      <c r="L47" s="80"/>
      <c r="M47" s="80"/>
      <c r="N47" s="80"/>
    </row>
    <row r="48" spans="1:14" s="66" customFormat="1" ht="15.75" customHeight="1" thickBot="1" x14ac:dyDescent="0.25">
      <c r="A48" s="74" t="s">
        <v>124</v>
      </c>
      <c r="B48" s="156"/>
      <c r="C48" s="172" t="s">
        <v>6</v>
      </c>
      <c r="D48" s="172" t="s">
        <v>6</v>
      </c>
      <c r="E48" s="172" t="s">
        <v>6</v>
      </c>
      <c r="F48" s="71">
        <f>SUM(F36:F47)</f>
        <v>13656.14</v>
      </c>
      <c r="G48" s="71">
        <f>SUM(G36:G47)</f>
        <v>13439.939999999999</v>
      </c>
      <c r="H48" s="71">
        <f>SUM(H36:H47)</f>
        <v>15938.939999999999</v>
      </c>
      <c r="I48" s="71">
        <f>SUM(I36:I47)</f>
        <v>15074.939999999999</v>
      </c>
      <c r="J48" s="317">
        <f>SUM(J36:J47)</f>
        <v>27075.94</v>
      </c>
      <c r="K48" s="80"/>
      <c r="L48" s="80"/>
      <c r="M48" s="80"/>
      <c r="N48" s="80"/>
    </row>
    <row r="49" spans="1:14" s="66" customFormat="1" ht="18" customHeight="1" x14ac:dyDescent="0.2">
      <c r="A49" s="312" t="s">
        <v>125</v>
      </c>
      <c r="B49" s="313"/>
      <c r="C49" s="313"/>
      <c r="D49" s="320" t="s">
        <v>341</v>
      </c>
      <c r="E49" s="321"/>
      <c r="F49" s="315" t="s">
        <v>341</v>
      </c>
      <c r="G49" s="315" t="s">
        <v>341</v>
      </c>
      <c r="H49" s="315" t="s">
        <v>341</v>
      </c>
      <c r="I49" s="315"/>
      <c r="J49" s="316"/>
      <c r="K49" s="80"/>
      <c r="L49" s="80"/>
      <c r="M49" s="80"/>
      <c r="N49" s="80"/>
    </row>
    <row r="50" spans="1:14" s="66" customFormat="1" ht="15" customHeight="1" x14ac:dyDescent="0.2">
      <c r="A50" s="149" t="s">
        <v>493</v>
      </c>
      <c r="B50" s="173">
        <v>3224</v>
      </c>
      <c r="C50" s="69">
        <v>20084</v>
      </c>
      <c r="D50" s="181">
        <v>9.9999999999999978E-2</v>
      </c>
      <c r="E50" s="174" t="s">
        <v>571</v>
      </c>
      <c r="F50" s="175">
        <v>1388</v>
      </c>
      <c r="G50" s="175">
        <v>1388</v>
      </c>
      <c r="H50" s="175">
        <v>1388</v>
      </c>
      <c r="I50" s="557">
        <v>0</v>
      </c>
      <c r="J50" s="560">
        <v>0</v>
      </c>
      <c r="K50" s="80"/>
      <c r="L50" s="80"/>
      <c r="M50" s="80"/>
      <c r="N50" s="80"/>
    </row>
    <row r="51" spans="1:14" s="66" customFormat="1" ht="15" customHeight="1" x14ac:dyDescent="0.2">
      <c r="A51" s="149" t="s">
        <v>495</v>
      </c>
      <c r="B51" s="173">
        <v>3223</v>
      </c>
      <c r="C51" s="69">
        <v>7797</v>
      </c>
      <c r="D51" s="181">
        <v>9.9999999999999978E-2</v>
      </c>
      <c r="E51" s="174" t="s">
        <v>576</v>
      </c>
      <c r="F51" s="175">
        <v>280</v>
      </c>
      <c r="G51" s="175">
        <v>280</v>
      </c>
      <c r="H51" s="175">
        <v>0</v>
      </c>
      <c r="I51" s="557">
        <v>0</v>
      </c>
      <c r="J51" s="560">
        <v>0</v>
      </c>
      <c r="K51" s="80"/>
      <c r="L51" s="80"/>
      <c r="M51" s="80"/>
      <c r="N51" s="80"/>
    </row>
    <row r="52" spans="1:14" s="66" customFormat="1" ht="15" customHeight="1" x14ac:dyDescent="0.2">
      <c r="A52" s="149" t="s">
        <v>345</v>
      </c>
      <c r="B52" s="173" t="s">
        <v>549</v>
      </c>
      <c r="C52" s="69">
        <v>2900</v>
      </c>
      <c r="D52" s="181">
        <v>9.9999999999999978E-2</v>
      </c>
      <c r="E52" s="174" t="s">
        <v>346</v>
      </c>
      <c r="F52" s="175">
        <v>44</v>
      </c>
      <c r="G52" s="175">
        <v>44</v>
      </c>
      <c r="H52" s="175">
        <v>44</v>
      </c>
      <c r="I52" s="175">
        <v>44</v>
      </c>
      <c r="J52" s="560">
        <v>44</v>
      </c>
      <c r="K52" s="80"/>
      <c r="L52" s="80"/>
      <c r="M52" s="80"/>
      <c r="N52" s="80"/>
    </row>
    <row r="53" spans="1:14" s="66" customFormat="1" ht="15" customHeight="1" x14ac:dyDescent="0.2">
      <c r="A53" s="149" t="s">
        <v>497</v>
      </c>
      <c r="B53" s="173">
        <v>3225</v>
      </c>
      <c r="C53" s="69">
        <v>5401</v>
      </c>
      <c r="D53" s="181">
        <v>9.9999999999999978E-2</v>
      </c>
      <c r="E53" s="174" t="s">
        <v>109</v>
      </c>
      <c r="F53" s="175">
        <v>174</v>
      </c>
      <c r="G53" s="175">
        <v>174</v>
      </c>
      <c r="H53" s="175">
        <v>174</v>
      </c>
      <c r="I53" s="175">
        <v>174</v>
      </c>
      <c r="J53" s="560">
        <v>0</v>
      </c>
      <c r="K53" s="80"/>
      <c r="L53" s="80"/>
      <c r="M53" s="80"/>
      <c r="N53" s="80"/>
    </row>
    <row r="54" spans="1:14" s="66" customFormat="1" ht="15" customHeight="1" x14ac:dyDescent="0.2">
      <c r="A54" s="149" t="s">
        <v>498</v>
      </c>
      <c r="B54" s="173" t="s">
        <v>550</v>
      </c>
      <c r="C54" s="69">
        <v>10943</v>
      </c>
      <c r="D54" s="181">
        <v>9.9999999999999978E-2</v>
      </c>
      <c r="E54" s="174" t="s">
        <v>571</v>
      </c>
      <c r="F54" s="175">
        <v>174</v>
      </c>
      <c r="G54" s="175">
        <v>174</v>
      </c>
      <c r="H54" s="175">
        <v>174</v>
      </c>
      <c r="I54" s="557">
        <v>0</v>
      </c>
      <c r="J54" s="560">
        <v>0</v>
      </c>
      <c r="K54" s="80"/>
      <c r="L54" s="80"/>
      <c r="M54" s="80"/>
      <c r="N54" s="80"/>
    </row>
    <row r="55" spans="1:14" s="66" customFormat="1" ht="15" customHeight="1" x14ac:dyDescent="0.2">
      <c r="A55" s="149" t="s">
        <v>499</v>
      </c>
      <c r="B55" s="173">
        <v>3222</v>
      </c>
      <c r="C55" s="69">
        <v>15839</v>
      </c>
      <c r="D55" s="181">
        <v>9.9999999999999978E-2</v>
      </c>
      <c r="E55" s="174" t="s">
        <v>571</v>
      </c>
      <c r="F55" s="175">
        <v>1898</v>
      </c>
      <c r="G55" s="175">
        <v>1898</v>
      </c>
      <c r="H55" s="175">
        <v>1898</v>
      </c>
      <c r="I55" s="559">
        <v>0</v>
      </c>
      <c r="J55" s="560">
        <v>0</v>
      </c>
      <c r="K55" s="80"/>
      <c r="L55" s="80"/>
      <c r="M55" s="80"/>
      <c r="N55" s="80"/>
    </row>
    <row r="56" spans="1:14" s="66" customFormat="1" ht="15" customHeight="1" x14ac:dyDescent="0.2">
      <c r="A56" s="149" t="s">
        <v>501</v>
      </c>
      <c r="B56" s="173" t="s">
        <v>502</v>
      </c>
      <c r="C56" s="69">
        <v>455851</v>
      </c>
      <c r="D56" s="181">
        <v>5.0000000000000044E-2</v>
      </c>
      <c r="E56" s="174" t="s">
        <v>577</v>
      </c>
      <c r="F56" s="175">
        <v>0</v>
      </c>
      <c r="G56" s="175">
        <v>0</v>
      </c>
      <c r="H56" s="175">
        <v>1666</v>
      </c>
      <c r="I56" s="559">
        <v>1667</v>
      </c>
      <c r="J56" s="560">
        <v>1667</v>
      </c>
      <c r="K56" s="80"/>
      <c r="L56" s="80"/>
      <c r="M56" s="80"/>
      <c r="N56" s="80"/>
    </row>
    <row r="57" spans="1:14" s="66" customFormat="1" ht="15" customHeight="1" x14ac:dyDescent="0.2">
      <c r="A57" s="149" t="s">
        <v>503</v>
      </c>
      <c r="B57" s="173">
        <v>3221</v>
      </c>
      <c r="C57" s="69">
        <v>23475</v>
      </c>
      <c r="D57" s="181">
        <v>9.9999999999999978E-2</v>
      </c>
      <c r="E57" s="174" t="s">
        <v>575</v>
      </c>
      <c r="F57" s="175">
        <v>1616</v>
      </c>
      <c r="G57" s="175">
        <v>1616</v>
      </c>
      <c r="H57" s="175">
        <v>0</v>
      </c>
      <c r="I57" s="559">
        <v>0</v>
      </c>
      <c r="J57" s="560">
        <v>0</v>
      </c>
      <c r="K57" s="80"/>
      <c r="L57" s="80"/>
      <c r="M57" s="80"/>
      <c r="N57" s="80"/>
    </row>
    <row r="58" spans="1:14" s="66" customFormat="1" ht="15" customHeight="1" x14ac:dyDescent="0.2">
      <c r="A58" s="149" t="s">
        <v>265</v>
      </c>
      <c r="B58" s="173" t="s">
        <v>551</v>
      </c>
      <c r="C58" s="69">
        <v>8000</v>
      </c>
      <c r="D58" s="181">
        <v>9.9999999999999978E-2</v>
      </c>
      <c r="E58" s="174" t="s">
        <v>578</v>
      </c>
      <c r="F58" s="175">
        <v>240</v>
      </c>
      <c r="G58" s="175">
        <v>240</v>
      </c>
      <c r="H58" s="175">
        <v>240</v>
      </c>
      <c r="I58" s="175">
        <v>240</v>
      </c>
      <c r="J58" s="560">
        <v>480</v>
      </c>
      <c r="K58" s="80"/>
      <c r="L58" s="80"/>
      <c r="M58" s="80"/>
      <c r="N58" s="80"/>
    </row>
    <row r="59" spans="1:14" s="66" customFormat="1" ht="15" customHeight="1" x14ac:dyDescent="0.2">
      <c r="A59" s="149" t="s">
        <v>266</v>
      </c>
      <c r="B59" s="173" t="s">
        <v>552</v>
      </c>
      <c r="C59" s="69">
        <v>34000</v>
      </c>
      <c r="D59" s="540">
        <v>9.9999999999999978E-2</v>
      </c>
      <c r="E59" s="174" t="s">
        <v>578</v>
      </c>
      <c r="F59" s="175">
        <v>1640</v>
      </c>
      <c r="G59" s="175">
        <v>1640</v>
      </c>
      <c r="H59" s="175">
        <v>1640</v>
      </c>
      <c r="I59" s="175">
        <v>1640</v>
      </c>
      <c r="J59" s="560">
        <v>3280</v>
      </c>
      <c r="K59" s="80"/>
      <c r="L59" s="80"/>
      <c r="M59" s="80"/>
      <c r="N59" s="80"/>
    </row>
    <row r="60" spans="1:14" s="66" customFormat="1" ht="15" customHeight="1" x14ac:dyDescent="0.2">
      <c r="A60" s="149" t="s">
        <v>267</v>
      </c>
      <c r="B60" s="173" t="s">
        <v>553</v>
      </c>
      <c r="C60" s="69">
        <v>10000</v>
      </c>
      <c r="D60" s="540">
        <v>9.9999999999999978E-2</v>
      </c>
      <c r="E60" s="174" t="s">
        <v>346</v>
      </c>
      <c r="F60" s="175">
        <v>340</v>
      </c>
      <c r="G60" s="175">
        <v>340</v>
      </c>
      <c r="H60" s="175">
        <v>340</v>
      </c>
      <c r="I60" s="175">
        <v>340</v>
      </c>
      <c r="J60" s="560">
        <v>340</v>
      </c>
      <c r="K60" s="80"/>
      <c r="L60" s="80"/>
      <c r="M60" s="80"/>
      <c r="N60" s="80"/>
    </row>
    <row r="61" spans="1:14" s="66" customFormat="1" ht="24" customHeight="1" x14ac:dyDescent="0.2">
      <c r="A61" s="149" t="s">
        <v>504</v>
      </c>
      <c r="B61" s="173" t="s">
        <v>554</v>
      </c>
      <c r="C61" s="69">
        <v>9074</v>
      </c>
      <c r="D61" s="540">
        <v>9.9999999999999978E-2</v>
      </c>
      <c r="E61" s="174" t="s">
        <v>346</v>
      </c>
      <c r="F61" s="175">
        <v>500</v>
      </c>
      <c r="G61" s="175">
        <v>500</v>
      </c>
      <c r="H61" s="175">
        <v>500</v>
      </c>
      <c r="I61" s="175">
        <v>500</v>
      </c>
      <c r="J61" s="560">
        <v>500</v>
      </c>
      <c r="K61" s="80"/>
      <c r="L61" s="80"/>
      <c r="M61" s="80"/>
      <c r="N61" s="80"/>
    </row>
    <row r="62" spans="1:14" s="66" customFormat="1" ht="15" customHeight="1" x14ac:dyDescent="0.2">
      <c r="A62" s="149" t="s">
        <v>505</v>
      </c>
      <c r="B62" s="173" t="s">
        <v>555</v>
      </c>
      <c r="C62" s="69">
        <v>24941</v>
      </c>
      <c r="D62" s="181">
        <v>9.9999999999999978E-2</v>
      </c>
      <c r="E62" s="174" t="s">
        <v>576</v>
      </c>
      <c r="F62" s="175">
        <v>1686</v>
      </c>
      <c r="G62" s="175">
        <v>1686</v>
      </c>
      <c r="H62" s="175">
        <v>0</v>
      </c>
      <c r="I62" s="557">
        <v>0</v>
      </c>
      <c r="J62" s="560">
        <v>0</v>
      </c>
      <c r="K62" s="80"/>
      <c r="L62" s="80"/>
      <c r="M62" s="80"/>
      <c r="N62" s="80"/>
    </row>
    <row r="63" spans="1:14" s="66" customFormat="1" ht="15" customHeight="1" x14ac:dyDescent="0.2">
      <c r="A63" s="149" t="s">
        <v>507</v>
      </c>
      <c r="B63" s="173" t="s">
        <v>556</v>
      </c>
      <c r="C63" s="69">
        <v>29965</v>
      </c>
      <c r="D63" s="181">
        <v>9.9999999999999978E-2</v>
      </c>
      <c r="E63" s="174" t="s">
        <v>579</v>
      </c>
      <c r="F63" s="175">
        <v>762</v>
      </c>
      <c r="G63" s="175">
        <v>762</v>
      </c>
      <c r="H63" s="175">
        <v>762</v>
      </c>
      <c r="I63" s="557">
        <v>0</v>
      </c>
      <c r="J63" s="176">
        <v>0</v>
      </c>
      <c r="K63" s="80"/>
      <c r="L63" s="80"/>
      <c r="M63" s="80"/>
      <c r="N63" s="80"/>
    </row>
    <row r="64" spans="1:14" s="66" customFormat="1" ht="15" customHeight="1" x14ac:dyDescent="0.2">
      <c r="A64" s="149" t="s">
        <v>508</v>
      </c>
      <c r="B64" s="173" t="s">
        <v>557</v>
      </c>
      <c r="C64" s="69">
        <v>15967</v>
      </c>
      <c r="D64" s="181">
        <v>9.9999999999999978E-2</v>
      </c>
      <c r="E64" s="174" t="s">
        <v>576</v>
      </c>
      <c r="F64" s="175">
        <v>260</v>
      </c>
      <c r="G64" s="175">
        <v>260</v>
      </c>
      <c r="H64" s="175">
        <v>0</v>
      </c>
      <c r="I64" s="557">
        <v>0</v>
      </c>
      <c r="J64" s="176">
        <v>0</v>
      </c>
      <c r="K64" s="80"/>
      <c r="L64" s="80"/>
      <c r="M64" s="80"/>
      <c r="N64" s="80"/>
    </row>
    <row r="65" spans="1:14" s="66" customFormat="1" ht="15" customHeight="1" x14ac:dyDescent="0.2">
      <c r="A65" s="149" t="s">
        <v>509</v>
      </c>
      <c r="B65" s="173" t="s">
        <v>558</v>
      </c>
      <c r="C65" s="69">
        <v>13261</v>
      </c>
      <c r="D65" s="181">
        <v>9.9999999999999978E-2</v>
      </c>
      <c r="E65" s="174" t="s">
        <v>576</v>
      </c>
      <c r="F65" s="175">
        <v>140</v>
      </c>
      <c r="G65" s="175">
        <v>140</v>
      </c>
      <c r="H65" s="175">
        <v>0</v>
      </c>
      <c r="I65" s="557">
        <v>0</v>
      </c>
      <c r="J65" s="176">
        <v>0</v>
      </c>
      <c r="K65" s="80"/>
      <c r="L65" s="80"/>
      <c r="M65" s="80"/>
      <c r="N65" s="80"/>
    </row>
    <row r="66" spans="1:14" s="66" customFormat="1" ht="24.75" customHeight="1" thickBot="1" x14ac:dyDescent="0.25">
      <c r="A66" s="149" t="s">
        <v>510</v>
      </c>
      <c r="B66" s="173">
        <v>3220</v>
      </c>
      <c r="C66" s="69">
        <v>50651</v>
      </c>
      <c r="D66" s="181">
        <v>9.9999999999999978E-2</v>
      </c>
      <c r="E66" s="174" t="s">
        <v>571</v>
      </c>
      <c r="F66" s="175">
        <v>755</v>
      </c>
      <c r="G66" s="175">
        <v>755</v>
      </c>
      <c r="H66" s="175">
        <v>755</v>
      </c>
      <c r="I66" s="557">
        <v>0</v>
      </c>
      <c r="J66" s="176">
        <v>0</v>
      </c>
      <c r="K66" s="80"/>
      <c r="L66" s="80"/>
      <c r="M66" s="80"/>
      <c r="N66" s="80"/>
    </row>
    <row r="67" spans="1:14" s="66" customFormat="1" ht="15.75" customHeight="1" thickBot="1" x14ac:dyDescent="0.25">
      <c r="A67" s="74" t="s">
        <v>126</v>
      </c>
      <c r="B67" s="156"/>
      <c r="C67" s="172" t="s">
        <v>6</v>
      </c>
      <c r="D67" s="172" t="s">
        <v>6</v>
      </c>
      <c r="E67" s="172" t="s">
        <v>6</v>
      </c>
      <c r="F67" s="71">
        <f>SUM(F50:F66)</f>
        <v>11897</v>
      </c>
      <c r="G67" s="71">
        <f>SUM(G50:G66)</f>
        <v>11897</v>
      </c>
      <c r="H67" s="71">
        <f>SUM(H50:H66)</f>
        <v>9581</v>
      </c>
      <c r="I67" s="71">
        <f>SUM(I50:I66)</f>
        <v>4605</v>
      </c>
      <c r="J67" s="317">
        <f>SUM(J50:J66)</f>
        <v>6311</v>
      </c>
      <c r="K67" s="80"/>
      <c r="L67" s="80"/>
      <c r="M67" s="80"/>
      <c r="N67" s="80"/>
    </row>
    <row r="68" spans="1:14" s="66" customFormat="1" ht="18" customHeight="1" x14ac:dyDescent="0.2">
      <c r="A68" s="312" t="s">
        <v>455</v>
      </c>
      <c r="B68" s="313"/>
      <c r="C68" s="313"/>
      <c r="D68" s="320" t="s">
        <v>341</v>
      </c>
      <c r="E68" s="321"/>
      <c r="F68" s="315" t="s">
        <v>341</v>
      </c>
      <c r="G68" s="315" t="s">
        <v>341</v>
      </c>
      <c r="H68" s="315" t="s">
        <v>341</v>
      </c>
      <c r="I68" s="315"/>
      <c r="J68" s="316"/>
      <c r="K68" s="80"/>
      <c r="L68" s="80"/>
      <c r="M68" s="80"/>
      <c r="N68" s="80"/>
    </row>
    <row r="69" spans="1:14" s="66" customFormat="1" ht="15.75" customHeight="1" thickBot="1" x14ac:dyDescent="0.25">
      <c r="A69" s="149" t="s">
        <v>527</v>
      </c>
      <c r="B69" s="173" t="s">
        <v>570</v>
      </c>
      <c r="C69" s="69">
        <v>236095</v>
      </c>
      <c r="D69" s="181">
        <v>0.15000000000000002</v>
      </c>
      <c r="E69" s="174" t="s">
        <v>577</v>
      </c>
      <c r="F69" s="175">
        <v>0</v>
      </c>
      <c r="G69" s="175">
        <v>0</v>
      </c>
      <c r="H69" s="175">
        <v>7626.2</v>
      </c>
      <c r="I69" s="559">
        <v>7626</v>
      </c>
      <c r="J69" s="560">
        <v>22878</v>
      </c>
      <c r="K69" s="80"/>
      <c r="L69" s="80"/>
      <c r="M69" s="80"/>
      <c r="N69" s="80"/>
    </row>
    <row r="70" spans="1:14" s="66" customFormat="1" ht="15.75" customHeight="1" thickBot="1" x14ac:dyDescent="0.25">
      <c r="A70" s="74" t="s">
        <v>763</v>
      </c>
      <c r="B70" s="156"/>
      <c r="C70" s="172" t="s">
        <v>6</v>
      </c>
      <c r="D70" s="172" t="s">
        <v>6</v>
      </c>
      <c r="E70" s="172" t="s">
        <v>6</v>
      </c>
      <c r="F70" s="71">
        <f>SUM(F69:F69)</f>
        <v>0</v>
      </c>
      <c r="G70" s="71">
        <f>SUM(G69:G69)</f>
        <v>0</v>
      </c>
      <c r="H70" s="71">
        <f>SUM(H69:H69)</f>
        <v>7626.2</v>
      </c>
      <c r="I70" s="71">
        <f>SUM(I69:I69)</f>
        <v>7626</v>
      </c>
      <c r="J70" s="317">
        <f>SUM(J69:J69)</f>
        <v>22878</v>
      </c>
      <c r="K70" s="80"/>
      <c r="L70" s="80"/>
      <c r="M70" s="80"/>
      <c r="N70" s="80"/>
    </row>
    <row r="71" spans="1:14" s="66" customFormat="1" ht="18" customHeight="1" x14ac:dyDescent="0.2">
      <c r="A71" s="312" t="s">
        <v>127</v>
      </c>
      <c r="B71" s="313"/>
      <c r="C71" s="313"/>
      <c r="D71" s="320" t="s">
        <v>341</v>
      </c>
      <c r="E71" s="321"/>
      <c r="F71" s="315" t="s">
        <v>341</v>
      </c>
      <c r="G71" s="315" t="s">
        <v>341</v>
      </c>
      <c r="H71" s="315" t="s">
        <v>341</v>
      </c>
      <c r="I71" s="315"/>
      <c r="J71" s="316"/>
      <c r="K71" s="80"/>
      <c r="L71" s="80"/>
      <c r="M71" s="80"/>
      <c r="N71" s="80"/>
    </row>
    <row r="72" spans="1:14" s="66" customFormat="1" ht="15" customHeight="1" x14ac:dyDescent="0.2">
      <c r="A72" s="149" t="s">
        <v>516</v>
      </c>
      <c r="B72" s="173" t="s">
        <v>559</v>
      </c>
      <c r="C72" s="69">
        <v>1185</v>
      </c>
      <c r="D72" s="181">
        <v>9.9999999999999978E-2</v>
      </c>
      <c r="E72" s="174" t="s">
        <v>467</v>
      </c>
      <c r="F72" s="175">
        <v>600</v>
      </c>
      <c r="G72" s="175">
        <v>600</v>
      </c>
      <c r="H72" s="175">
        <v>0</v>
      </c>
      <c r="I72" s="557">
        <v>0</v>
      </c>
      <c r="J72" s="176">
        <v>0</v>
      </c>
      <c r="K72" s="80"/>
      <c r="L72" s="80"/>
      <c r="M72" s="80"/>
      <c r="N72" s="80"/>
    </row>
    <row r="73" spans="1:14" s="66" customFormat="1" ht="24" customHeight="1" x14ac:dyDescent="0.2">
      <c r="A73" s="149" t="s">
        <v>517</v>
      </c>
      <c r="B73" s="173" t="s">
        <v>560</v>
      </c>
      <c r="C73" s="69">
        <v>19100</v>
      </c>
      <c r="D73" s="181">
        <v>9.9999999999999978E-2</v>
      </c>
      <c r="E73" s="174" t="s">
        <v>575</v>
      </c>
      <c r="F73" s="175">
        <v>2000</v>
      </c>
      <c r="G73" s="175">
        <v>2000</v>
      </c>
      <c r="H73" s="175">
        <v>0</v>
      </c>
      <c r="I73" s="557">
        <v>0</v>
      </c>
      <c r="J73" s="176">
        <v>0</v>
      </c>
      <c r="K73" s="80"/>
      <c r="L73" s="80"/>
      <c r="M73" s="80"/>
      <c r="N73" s="80"/>
    </row>
    <row r="74" spans="1:14" s="66" customFormat="1" ht="24" customHeight="1" x14ac:dyDescent="0.2">
      <c r="A74" s="149" t="s">
        <v>518</v>
      </c>
      <c r="B74" s="173">
        <v>3240</v>
      </c>
      <c r="C74" s="69">
        <v>94334</v>
      </c>
      <c r="D74" s="181">
        <v>9.9999999999999978E-2</v>
      </c>
      <c r="E74" s="174" t="s">
        <v>571</v>
      </c>
      <c r="F74" s="175">
        <v>3600</v>
      </c>
      <c r="G74" s="175">
        <v>3600</v>
      </c>
      <c r="H74" s="175">
        <v>3600</v>
      </c>
      <c r="I74" s="557">
        <v>0</v>
      </c>
      <c r="J74" s="176">
        <v>0</v>
      </c>
      <c r="K74" s="80"/>
      <c r="L74" s="80"/>
      <c r="M74" s="80"/>
      <c r="N74" s="80"/>
    </row>
    <row r="75" spans="1:14" s="66" customFormat="1" ht="24.75" customHeight="1" thickBot="1" x14ac:dyDescent="0.25">
      <c r="A75" s="509" t="s">
        <v>885</v>
      </c>
      <c r="B75" s="510"/>
      <c r="C75" s="511">
        <v>32000</v>
      </c>
      <c r="D75" s="512">
        <v>0.15</v>
      </c>
      <c r="E75" s="513" t="s">
        <v>884</v>
      </c>
      <c r="F75" s="514">
        <v>0</v>
      </c>
      <c r="G75" s="514">
        <v>0</v>
      </c>
      <c r="H75" s="514">
        <v>950</v>
      </c>
      <c r="I75" s="561">
        <v>950</v>
      </c>
      <c r="J75" s="562">
        <v>2850</v>
      </c>
      <c r="K75" s="80"/>
      <c r="L75" s="80"/>
      <c r="M75" s="80"/>
      <c r="N75" s="80"/>
    </row>
    <row r="76" spans="1:14" s="66" customFormat="1" ht="15.75" customHeight="1" thickBot="1" x14ac:dyDescent="0.25">
      <c r="A76" s="149" t="s">
        <v>235</v>
      </c>
      <c r="B76" s="173" t="s">
        <v>561</v>
      </c>
      <c r="C76" s="69">
        <v>140000</v>
      </c>
      <c r="D76" s="181">
        <v>0.15000000000000002</v>
      </c>
      <c r="E76" s="174" t="s">
        <v>580</v>
      </c>
      <c r="F76" s="175">
        <v>0</v>
      </c>
      <c r="G76" s="175">
        <v>0</v>
      </c>
      <c r="H76" s="175">
        <v>0</v>
      </c>
      <c r="I76" s="559">
        <v>3127</v>
      </c>
      <c r="J76" s="560">
        <v>12508</v>
      </c>
      <c r="K76" s="80"/>
      <c r="L76" s="80"/>
      <c r="M76" s="80"/>
      <c r="N76" s="80"/>
    </row>
    <row r="77" spans="1:14" s="66" customFormat="1" ht="15.75" customHeight="1" thickBot="1" x14ac:dyDescent="0.25">
      <c r="A77" s="74" t="s">
        <v>128</v>
      </c>
      <c r="B77" s="156"/>
      <c r="C77" s="172" t="s">
        <v>6</v>
      </c>
      <c r="D77" s="172" t="s">
        <v>6</v>
      </c>
      <c r="E77" s="172" t="s">
        <v>6</v>
      </c>
      <c r="F77" s="71">
        <f>SUM(F72:F76)</f>
        <v>6200</v>
      </c>
      <c r="G77" s="71">
        <f t="shared" ref="G77:J77" si="3">SUM(G72:G76)</f>
        <v>6200</v>
      </c>
      <c r="H77" s="71">
        <f t="shared" si="3"/>
        <v>4550</v>
      </c>
      <c r="I77" s="71">
        <f t="shared" si="3"/>
        <v>4077</v>
      </c>
      <c r="J77" s="317">
        <f t="shared" si="3"/>
        <v>15358</v>
      </c>
      <c r="K77" s="80"/>
      <c r="L77" s="80"/>
      <c r="M77" s="80"/>
      <c r="N77" s="80"/>
    </row>
    <row r="78" spans="1:14" s="66" customFormat="1" ht="18" customHeight="1" x14ac:dyDescent="0.2">
      <c r="A78" s="312" t="s">
        <v>160</v>
      </c>
      <c r="B78" s="313"/>
      <c r="C78" s="313"/>
      <c r="D78" s="320" t="s">
        <v>341</v>
      </c>
      <c r="E78" s="321"/>
      <c r="F78" s="315" t="s">
        <v>341</v>
      </c>
      <c r="G78" s="315" t="s">
        <v>341</v>
      </c>
      <c r="H78" s="315" t="s">
        <v>341</v>
      </c>
      <c r="I78" s="315"/>
      <c r="J78" s="316"/>
      <c r="K78" s="80"/>
      <c r="L78" s="80"/>
      <c r="M78" s="80"/>
      <c r="N78" s="80"/>
    </row>
    <row r="79" spans="1:14" s="66" customFormat="1" ht="15" customHeight="1" x14ac:dyDescent="0.2">
      <c r="A79" s="149" t="s">
        <v>522</v>
      </c>
      <c r="B79" s="173" t="s">
        <v>562</v>
      </c>
      <c r="C79" s="69">
        <v>1205</v>
      </c>
      <c r="D79" s="181">
        <v>0.15000000000000002</v>
      </c>
      <c r="E79" s="174" t="s">
        <v>571</v>
      </c>
      <c r="F79" s="175">
        <v>50</v>
      </c>
      <c r="G79" s="175">
        <v>50</v>
      </c>
      <c r="H79" s="175">
        <v>50</v>
      </c>
      <c r="I79" s="557">
        <v>0</v>
      </c>
      <c r="J79" s="176">
        <v>0</v>
      </c>
      <c r="K79" s="80"/>
      <c r="L79" s="80"/>
      <c r="M79" s="80"/>
      <c r="N79" s="80"/>
    </row>
    <row r="80" spans="1:14" s="66" customFormat="1" ht="15" customHeight="1" x14ac:dyDescent="0.2">
      <c r="A80" s="149" t="s">
        <v>132</v>
      </c>
      <c r="B80" s="173" t="s">
        <v>563</v>
      </c>
      <c r="C80" s="69">
        <v>1550</v>
      </c>
      <c r="D80" s="181">
        <v>9.9999999999999978E-2</v>
      </c>
      <c r="E80" s="174" t="s">
        <v>114</v>
      </c>
      <c r="F80" s="175">
        <v>20</v>
      </c>
      <c r="G80" s="175">
        <v>20</v>
      </c>
      <c r="H80" s="175">
        <v>20</v>
      </c>
      <c r="I80" s="559">
        <v>20</v>
      </c>
      <c r="J80" s="560">
        <v>20</v>
      </c>
      <c r="K80" s="80"/>
      <c r="L80" s="80"/>
      <c r="M80" s="80"/>
      <c r="N80" s="80"/>
    </row>
    <row r="81" spans="1:14" s="66" customFormat="1" ht="24" customHeight="1" x14ac:dyDescent="0.2">
      <c r="A81" s="149" t="s">
        <v>268</v>
      </c>
      <c r="B81" s="173" t="s">
        <v>564</v>
      </c>
      <c r="C81" s="69">
        <v>5300</v>
      </c>
      <c r="D81" s="181">
        <v>0.15000000000000002</v>
      </c>
      <c r="E81" s="174" t="s">
        <v>581</v>
      </c>
      <c r="F81" s="175">
        <v>0</v>
      </c>
      <c r="G81" s="175">
        <v>0</v>
      </c>
      <c r="H81" s="175">
        <v>0</v>
      </c>
      <c r="I81" s="559">
        <v>210</v>
      </c>
      <c r="J81" s="560">
        <v>1890</v>
      </c>
      <c r="K81" s="80"/>
      <c r="L81" s="80"/>
      <c r="M81" s="80"/>
      <c r="N81" s="80"/>
    </row>
    <row r="82" spans="1:14" s="66" customFormat="1" ht="15" customHeight="1" x14ac:dyDescent="0.2">
      <c r="A82" s="149" t="s">
        <v>269</v>
      </c>
      <c r="B82" s="173" t="s">
        <v>565</v>
      </c>
      <c r="C82" s="69">
        <v>48050</v>
      </c>
      <c r="D82" s="181">
        <v>0</v>
      </c>
      <c r="E82" s="174" t="s">
        <v>348</v>
      </c>
      <c r="F82" s="175">
        <v>0</v>
      </c>
      <c r="G82" s="175">
        <v>0</v>
      </c>
      <c r="H82" s="175">
        <v>300</v>
      </c>
      <c r="I82" s="559">
        <v>300</v>
      </c>
      <c r="J82" s="560">
        <v>2400</v>
      </c>
      <c r="K82" s="80"/>
      <c r="L82" s="80"/>
      <c r="M82" s="80"/>
      <c r="N82" s="80"/>
    </row>
    <row r="83" spans="1:14" s="66" customFormat="1" ht="15" customHeight="1" x14ac:dyDescent="0.2">
      <c r="A83" s="149" t="s">
        <v>270</v>
      </c>
      <c r="B83" s="173" t="s">
        <v>566</v>
      </c>
      <c r="C83" s="69">
        <v>3506</v>
      </c>
      <c r="D83" s="181">
        <v>0</v>
      </c>
      <c r="E83" s="174" t="s">
        <v>114</v>
      </c>
      <c r="F83" s="175">
        <v>30</v>
      </c>
      <c r="G83" s="175">
        <v>30</v>
      </c>
      <c r="H83" s="175">
        <v>30</v>
      </c>
      <c r="I83" s="559">
        <v>30</v>
      </c>
      <c r="J83" s="560">
        <v>210</v>
      </c>
      <c r="K83" s="80"/>
      <c r="L83" s="80"/>
      <c r="M83" s="80"/>
      <c r="N83" s="80"/>
    </row>
    <row r="84" spans="1:14" s="66" customFormat="1" ht="15" customHeight="1" x14ac:dyDescent="0.2">
      <c r="A84" s="149" t="s">
        <v>130</v>
      </c>
      <c r="B84" s="173" t="s">
        <v>567</v>
      </c>
      <c r="C84" s="69">
        <v>2200</v>
      </c>
      <c r="D84" s="181">
        <v>0</v>
      </c>
      <c r="E84" s="174" t="s">
        <v>582</v>
      </c>
      <c r="F84" s="175">
        <v>0</v>
      </c>
      <c r="G84" s="175">
        <v>84</v>
      </c>
      <c r="H84" s="175">
        <v>84</v>
      </c>
      <c r="I84" s="559">
        <v>84</v>
      </c>
      <c r="J84" s="560">
        <v>588</v>
      </c>
      <c r="K84" s="80"/>
      <c r="L84" s="80"/>
      <c r="M84" s="80"/>
      <c r="N84" s="80"/>
    </row>
    <row r="85" spans="1:14" s="66" customFormat="1" ht="15" customHeight="1" x14ac:dyDescent="0.2">
      <c r="A85" s="149" t="s">
        <v>131</v>
      </c>
      <c r="B85" s="173" t="s">
        <v>568</v>
      </c>
      <c r="C85" s="69">
        <v>8739</v>
      </c>
      <c r="D85" s="181">
        <v>0</v>
      </c>
      <c r="E85" s="174" t="s">
        <v>583</v>
      </c>
      <c r="F85" s="175">
        <v>0</v>
      </c>
      <c r="G85" s="175">
        <v>0</v>
      </c>
      <c r="H85" s="175">
        <v>292</v>
      </c>
      <c r="I85" s="559">
        <v>292</v>
      </c>
      <c r="J85" s="560">
        <v>2336</v>
      </c>
      <c r="K85" s="80"/>
      <c r="L85" s="80"/>
      <c r="M85" s="80"/>
      <c r="N85" s="80"/>
    </row>
    <row r="86" spans="1:14" s="66" customFormat="1" ht="15.75" customHeight="1" thickBot="1" x14ac:dyDescent="0.25">
      <c r="A86" s="149" t="s">
        <v>129</v>
      </c>
      <c r="B86" s="173" t="s">
        <v>569</v>
      </c>
      <c r="C86" s="69">
        <v>1030</v>
      </c>
      <c r="D86" s="181">
        <v>0</v>
      </c>
      <c r="E86" s="174" t="s">
        <v>105</v>
      </c>
      <c r="F86" s="175">
        <v>100</v>
      </c>
      <c r="G86" s="175">
        <v>100</v>
      </c>
      <c r="H86" s="175">
        <v>100</v>
      </c>
      <c r="I86" s="559">
        <v>100</v>
      </c>
      <c r="J86" s="560">
        <v>800</v>
      </c>
      <c r="K86" s="80"/>
      <c r="L86" s="80"/>
      <c r="M86" s="80"/>
      <c r="N86" s="80"/>
    </row>
    <row r="87" spans="1:14" s="66" customFormat="1" ht="15.75" customHeight="1" thickBot="1" x14ac:dyDescent="0.25">
      <c r="A87" s="74" t="s">
        <v>133</v>
      </c>
      <c r="B87" s="156"/>
      <c r="C87" s="172" t="s">
        <v>6</v>
      </c>
      <c r="D87" s="322" t="s">
        <v>6</v>
      </c>
      <c r="E87" s="172" t="s">
        <v>6</v>
      </c>
      <c r="F87" s="71">
        <f>SUM(F79:F86)</f>
        <v>200</v>
      </c>
      <c r="G87" s="71">
        <f>SUM(G79:G86)</f>
        <v>284</v>
      </c>
      <c r="H87" s="71">
        <f>SUM(H79:H86)</f>
        <v>876</v>
      </c>
      <c r="I87" s="71">
        <f>SUM(I79:I86)</f>
        <v>1036</v>
      </c>
      <c r="J87" s="317">
        <f>SUM(J79:J86)</f>
        <v>8244</v>
      </c>
    </row>
    <row r="88" spans="1:14" s="184" customFormat="1" ht="9" customHeight="1" thickBot="1" x14ac:dyDescent="0.25">
      <c r="A88" s="185"/>
      <c r="B88" s="186"/>
      <c r="C88" s="187"/>
      <c r="D88" s="188"/>
      <c r="E88" s="189"/>
      <c r="F88" s="190"/>
      <c r="G88" s="190"/>
      <c r="H88" s="190"/>
      <c r="I88" s="190"/>
      <c r="J88" s="191"/>
    </row>
    <row r="89" spans="1:14" s="66" customFormat="1" ht="18" customHeight="1" thickBot="1" x14ac:dyDescent="0.25">
      <c r="A89" s="74" t="s">
        <v>134</v>
      </c>
      <c r="B89" s="156"/>
      <c r="C89" s="172" t="s">
        <v>6</v>
      </c>
      <c r="D89" s="322" t="s">
        <v>6</v>
      </c>
      <c r="E89" s="172" t="s">
        <v>6</v>
      </c>
      <c r="F89" s="71">
        <f>F87+F77+F67+F48+F34+F31+F20+F15+F70+F12+F9</f>
        <v>52905.14</v>
      </c>
      <c r="G89" s="71">
        <f>G87+G77+G67+G48+G34+G31+G20+G15+G70+G12+G9</f>
        <v>68622.94</v>
      </c>
      <c r="H89" s="71">
        <f>H87+H77+H67+H48+H34+H31+H20+H15+H70+H12+H9</f>
        <v>79242.14</v>
      </c>
      <c r="I89" s="71">
        <f>I87+I77+I67+I48+I34+I31+I20+I15+I70+I12+I9</f>
        <v>72668.94</v>
      </c>
      <c r="J89" s="317">
        <f>J87+J77+J67+J48+J34+J31+J20+J15+J70+J12+J9</f>
        <v>147934.94</v>
      </c>
    </row>
    <row r="90" spans="1:14" x14ac:dyDescent="0.2">
      <c r="E90" s="192"/>
    </row>
    <row r="91" spans="1:14" s="193" customFormat="1" x14ac:dyDescent="0.2">
      <c r="D91" s="194"/>
      <c r="E91" s="195"/>
    </row>
    <row r="92" spans="1:14" x14ac:dyDescent="0.2">
      <c r="A92" s="193"/>
      <c r="B92" s="193"/>
      <c r="C92" s="193"/>
      <c r="D92" s="194"/>
      <c r="E92" s="196"/>
    </row>
    <row r="94" spans="1:14" ht="14.25" x14ac:dyDescent="0.2">
      <c r="A94" s="197"/>
      <c r="B94" s="197"/>
    </row>
  </sheetData>
  <mergeCells count="6">
    <mergeCell ref="A2:J2"/>
    <mergeCell ref="A4:A5"/>
    <mergeCell ref="C4:C5"/>
    <mergeCell ref="D4:D5"/>
    <mergeCell ref="E4:E5"/>
    <mergeCell ref="F4:J4"/>
  </mergeCells>
  <dataValidations count="1">
    <dataValidation type="whole" operator="greaterThan" allowBlank="1" showInputMessage="1" showErrorMessage="1" sqref="C14 C7:C8 C17:C19 C33 C36:C47 C50:C66 C69 C11 C79:C86 C72:C76" xr:uid="{C7ADEA34-156D-40C0-9497-4CB30319745B}">
      <formula1>0</formula1>
    </dataValidation>
  </dataValidations>
  <printOptions horizontalCentered="1"/>
  <pageMargins left="0.39370078740157483" right="0.39370078740157483" top="0.59055118110236227" bottom="0.39370078740157483" header="0.31496062992125984" footer="0.11811023622047245"/>
  <pageSetup paperSize="9" scale="92" firstPageNumber="34" fitToHeight="0" orientation="landscape" useFirstPageNumber="1" r:id="rId1"/>
  <headerFooter>
    <oddHeader>&amp;L&amp;"Tahoma,Kurzíva"&amp;9Střednědobý výhled rozpočtu kraje na léta 2022 - 2025&amp;R&amp;"Tahoma,Kurzíva"&amp;9Přehled výdajů na zajištění udržitelnosti akcí spolufinancovaných z evropských finančních zdrojů</oddHeader>
    <oddFooter>&amp;C&amp;"Tahoma,Obyčejné"&amp;P</oddFooter>
  </headerFooter>
  <rowBreaks count="2" manualBreakCount="2">
    <brk id="31" max="9" man="1"/>
    <brk id="61"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2A46A-5C18-4C51-B695-362D2C05AFE5}">
  <sheetPr>
    <pageSetUpPr fitToPage="1"/>
  </sheetPr>
  <dimension ref="A1:S20"/>
  <sheetViews>
    <sheetView zoomScaleNormal="100" zoomScaleSheetLayoutView="100" workbookViewId="0">
      <selection activeCell="H8" sqref="H8"/>
    </sheetView>
  </sheetViews>
  <sheetFormatPr defaultRowHeight="12.75" x14ac:dyDescent="0.2"/>
  <cols>
    <col min="1" max="1" width="7.7109375" style="50" customWidth="1"/>
    <col min="2" max="13" width="10" style="50" customWidth="1"/>
    <col min="14" max="16" width="11.7109375" style="50" customWidth="1"/>
    <col min="17" max="19" width="10" style="50" customWidth="1"/>
    <col min="20" max="16384" width="9.140625" style="50"/>
  </cols>
  <sheetData>
    <row r="1" spans="1:19" ht="15" customHeight="1" x14ac:dyDescent="0.2">
      <c r="A1" s="21" t="s">
        <v>64</v>
      </c>
    </row>
    <row r="2" spans="1:19" ht="34.5" customHeight="1" x14ac:dyDescent="0.2">
      <c r="A2" s="657" t="s">
        <v>895</v>
      </c>
      <c r="B2" s="658"/>
      <c r="C2" s="658"/>
      <c r="D2" s="658"/>
      <c r="E2" s="658"/>
      <c r="F2" s="658"/>
      <c r="G2" s="658"/>
      <c r="H2" s="658"/>
      <c r="I2" s="658"/>
      <c r="J2" s="658"/>
      <c r="K2" s="658"/>
      <c r="L2" s="658"/>
      <c r="M2" s="658"/>
      <c r="N2" s="658"/>
      <c r="O2" s="658"/>
      <c r="P2" s="658"/>
      <c r="Q2" s="658"/>
      <c r="R2" s="658"/>
      <c r="S2" s="658"/>
    </row>
    <row r="3" spans="1:19" ht="13.5" thickBot="1" x14ac:dyDescent="0.25">
      <c r="G3" s="51"/>
      <c r="J3" s="51"/>
      <c r="M3" s="51"/>
      <c r="P3" s="51"/>
      <c r="S3" s="52" t="s">
        <v>101</v>
      </c>
    </row>
    <row r="4" spans="1:19" ht="81.75" customHeight="1" x14ac:dyDescent="0.2">
      <c r="A4" s="537" t="s">
        <v>135</v>
      </c>
      <c r="B4" s="659" t="s">
        <v>465</v>
      </c>
      <c r="C4" s="660"/>
      <c r="D4" s="661"/>
      <c r="E4" s="662" t="s">
        <v>459</v>
      </c>
      <c r="F4" s="663"/>
      <c r="G4" s="664"/>
      <c r="H4" s="662" t="s">
        <v>466</v>
      </c>
      <c r="I4" s="663"/>
      <c r="J4" s="664"/>
      <c r="K4" s="662" t="s">
        <v>876</v>
      </c>
      <c r="L4" s="663"/>
      <c r="M4" s="664"/>
      <c r="N4" s="663" t="s">
        <v>877</v>
      </c>
      <c r="O4" s="663"/>
      <c r="P4" s="663"/>
      <c r="Q4" s="662" t="s">
        <v>136</v>
      </c>
      <c r="R4" s="665"/>
      <c r="S4" s="666"/>
    </row>
    <row r="5" spans="1:19" ht="51" x14ac:dyDescent="0.2">
      <c r="A5" s="53" t="s">
        <v>137</v>
      </c>
      <c r="B5" s="141" t="s">
        <v>138</v>
      </c>
      <c r="C5" s="139" t="s">
        <v>139</v>
      </c>
      <c r="D5" s="142" t="s">
        <v>140</v>
      </c>
      <c r="E5" s="141" t="s">
        <v>138</v>
      </c>
      <c r="F5" s="139" t="s">
        <v>139</v>
      </c>
      <c r="G5" s="142" t="s">
        <v>140</v>
      </c>
      <c r="H5" s="141" t="s">
        <v>138</v>
      </c>
      <c r="I5" s="139" t="s">
        <v>139</v>
      </c>
      <c r="J5" s="142" t="s">
        <v>140</v>
      </c>
      <c r="K5" s="141" t="s">
        <v>138</v>
      </c>
      <c r="L5" s="139" t="s">
        <v>139</v>
      </c>
      <c r="M5" s="142" t="s">
        <v>140</v>
      </c>
      <c r="N5" s="527" t="s">
        <v>138</v>
      </c>
      <c r="O5" s="139" t="s">
        <v>139</v>
      </c>
      <c r="P5" s="140" t="s">
        <v>140</v>
      </c>
      <c r="Q5" s="141" t="s">
        <v>141</v>
      </c>
      <c r="R5" s="139" t="s">
        <v>139</v>
      </c>
      <c r="S5" s="142" t="s">
        <v>140</v>
      </c>
    </row>
    <row r="6" spans="1:19" ht="16.5" hidden="1" customHeight="1" x14ac:dyDescent="0.2">
      <c r="A6" s="54">
        <v>2021</v>
      </c>
      <c r="B6" s="57">
        <v>306856.42857999995</v>
      </c>
      <c r="C6" s="55">
        <v>76715</v>
      </c>
      <c r="D6" s="58">
        <v>2000</v>
      </c>
      <c r="E6" s="57">
        <v>439033.47630999982</v>
      </c>
      <c r="F6" s="55">
        <v>657507.08000000007</v>
      </c>
      <c r="G6" s="58">
        <v>3000</v>
      </c>
      <c r="H6" s="57">
        <v>673130</v>
      </c>
      <c r="I6" s="55">
        <v>168285</v>
      </c>
      <c r="J6" s="58">
        <v>3000</v>
      </c>
      <c r="K6" s="57">
        <v>590985.6399999999</v>
      </c>
      <c r="L6" s="55">
        <v>0</v>
      </c>
      <c r="M6" s="58">
        <v>8000</v>
      </c>
      <c r="N6" s="473"/>
      <c r="O6" s="55"/>
      <c r="P6" s="56"/>
      <c r="Q6" s="57">
        <f>B6+E6+H6+K6+N6</f>
        <v>2010005.5448899998</v>
      </c>
      <c r="R6" s="55">
        <f t="shared" ref="R6:S20" si="0">C6+F6+I6+L6+O6</f>
        <v>902507.08000000007</v>
      </c>
      <c r="S6" s="58">
        <f t="shared" si="0"/>
        <v>16000</v>
      </c>
    </row>
    <row r="7" spans="1:19" ht="16.5" customHeight="1" x14ac:dyDescent="0.2">
      <c r="A7" s="54">
        <v>2022</v>
      </c>
      <c r="B7" s="57">
        <f t="shared" ref="B7:B10" si="1">B6-C7</f>
        <v>230141.42857999995</v>
      </c>
      <c r="C7" s="55">
        <v>76715</v>
      </c>
      <c r="D7" s="58">
        <v>1600</v>
      </c>
      <c r="E7" s="57">
        <v>999893</v>
      </c>
      <c r="F7" s="55">
        <v>526547</v>
      </c>
      <c r="G7" s="58">
        <v>3000</v>
      </c>
      <c r="H7" s="57">
        <f t="shared" ref="H7:H9" si="2">H6-I7</f>
        <v>504845</v>
      </c>
      <c r="I7" s="55">
        <v>168285</v>
      </c>
      <c r="J7" s="58">
        <v>2500</v>
      </c>
      <c r="K7" s="57">
        <v>1843828</v>
      </c>
      <c r="L7" s="55">
        <v>0</v>
      </c>
      <c r="M7" s="58">
        <v>12900</v>
      </c>
      <c r="N7" s="473"/>
      <c r="O7" s="55"/>
      <c r="P7" s="56"/>
      <c r="Q7" s="57">
        <f t="shared" ref="Q7:Q20" si="3">B7+E7+H7+K7+N7</f>
        <v>3578707.4285800001</v>
      </c>
      <c r="R7" s="55">
        <f t="shared" si="0"/>
        <v>771547</v>
      </c>
      <c r="S7" s="58">
        <f t="shared" si="0"/>
        <v>20000</v>
      </c>
    </row>
    <row r="8" spans="1:19" ht="16.5" customHeight="1" x14ac:dyDescent="0.2">
      <c r="A8" s="54">
        <v>2023</v>
      </c>
      <c r="B8" s="57">
        <f t="shared" si="1"/>
        <v>153426.42857999995</v>
      </c>
      <c r="C8" s="55">
        <v>76715</v>
      </c>
      <c r="D8" s="58">
        <v>1200</v>
      </c>
      <c r="E8" s="57">
        <v>928800</v>
      </c>
      <c r="F8" s="55">
        <v>1366342</v>
      </c>
      <c r="G8" s="58">
        <v>3000</v>
      </c>
      <c r="H8" s="57">
        <f t="shared" si="2"/>
        <v>336560</v>
      </c>
      <c r="I8" s="55">
        <v>168285</v>
      </c>
      <c r="J8" s="58">
        <v>2000</v>
      </c>
      <c r="K8" s="57">
        <v>2803680</v>
      </c>
      <c r="L8" s="55">
        <v>0</v>
      </c>
      <c r="M8" s="58">
        <v>24000</v>
      </c>
      <c r="N8" s="473"/>
      <c r="O8" s="55"/>
      <c r="P8" s="56"/>
      <c r="Q8" s="57">
        <f t="shared" si="3"/>
        <v>4222466.4285800001</v>
      </c>
      <c r="R8" s="55">
        <f t="shared" si="0"/>
        <v>1611342</v>
      </c>
      <c r="S8" s="58">
        <f t="shared" si="0"/>
        <v>30200</v>
      </c>
    </row>
    <row r="9" spans="1:19" ht="16.5" customHeight="1" x14ac:dyDescent="0.2">
      <c r="A9" s="54">
        <v>2024</v>
      </c>
      <c r="B9" s="57">
        <f>B8-C9+4</f>
        <v>76715.428579999949</v>
      </c>
      <c r="C9" s="55">
        <v>76715</v>
      </c>
      <c r="D9" s="58">
        <v>800</v>
      </c>
      <c r="E9" s="57">
        <v>0</v>
      </c>
      <c r="F9" s="55">
        <v>928800</v>
      </c>
      <c r="G9" s="58">
        <v>1500</v>
      </c>
      <c r="H9" s="57">
        <f t="shared" si="2"/>
        <v>168275</v>
      </c>
      <c r="I9" s="55">
        <v>168285</v>
      </c>
      <c r="J9" s="58">
        <v>1500</v>
      </c>
      <c r="K9" s="57">
        <v>3000000</v>
      </c>
      <c r="L9" s="55">
        <v>0</v>
      </c>
      <c r="M9" s="58">
        <v>30000</v>
      </c>
      <c r="N9" s="473">
        <v>1418915</v>
      </c>
      <c r="O9" s="55">
        <v>245400</v>
      </c>
      <c r="P9" s="56">
        <v>6000</v>
      </c>
      <c r="Q9" s="57">
        <f t="shared" si="3"/>
        <v>4663905.4285800001</v>
      </c>
      <c r="R9" s="55">
        <f t="shared" si="0"/>
        <v>1419200</v>
      </c>
      <c r="S9" s="58">
        <f t="shared" si="0"/>
        <v>39800</v>
      </c>
    </row>
    <row r="10" spans="1:19" ht="16.5" customHeight="1" x14ac:dyDescent="0.2">
      <c r="A10" s="54">
        <v>2025</v>
      </c>
      <c r="B10" s="57">
        <f t="shared" si="1"/>
        <v>0.42857999994885176</v>
      </c>
      <c r="C10" s="55">
        <v>76715</v>
      </c>
      <c r="D10" s="58">
        <v>400</v>
      </c>
      <c r="E10" s="57">
        <v>0</v>
      </c>
      <c r="F10" s="55">
        <v>0</v>
      </c>
      <c r="G10" s="58">
        <v>0</v>
      </c>
      <c r="H10" s="57">
        <f>H9-I10</f>
        <v>0</v>
      </c>
      <c r="I10" s="55">
        <v>168275</v>
      </c>
      <c r="J10" s="58">
        <v>500</v>
      </c>
      <c r="K10" s="57">
        <f>K9-L10</f>
        <v>3000000</v>
      </c>
      <c r="L10" s="55">
        <v>0</v>
      </c>
      <c r="M10" s="58">
        <v>33000</v>
      </c>
      <c r="N10" s="473">
        <v>1357030</v>
      </c>
      <c r="O10" s="55">
        <v>1871065</v>
      </c>
      <c r="P10" s="56">
        <v>5700</v>
      </c>
      <c r="Q10" s="57">
        <f t="shared" si="3"/>
        <v>4357030.4285800001</v>
      </c>
      <c r="R10" s="55">
        <f t="shared" si="0"/>
        <v>2116055</v>
      </c>
      <c r="S10" s="58">
        <f t="shared" si="0"/>
        <v>39600</v>
      </c>
    </row>
    <row r="11" spans="1:19" ht="16.5" customHeight="1" x14ac:dyDescent="0.2">
      <c r="A11" s="54">
        <v>2026</v>
      </c>
      <c r="B11" s="57">
        <v>0</v>
      </c>
      <c r="C11" s="55">
        <v>0</v>
      </c>
      <c r="D11" s="58">
        <v>0</v>
      </c>
      <c r="E11" s="57">
        <v>0</v>
      </c>
      <c r="F11" s="55">
        <v>0</v>
      </c>
      <c r="G11" s="58">
        <v>0</v>
      </c>
      <c r="H11" s="57">
        <v>0</v>
      </c>
      <c r="I11" s="55">
        <v>0</v>
      </c>
      <c r="J11" s="58">
        <v>0</v>
      </c>
      <c r="K11" s="57">
        <f>K10-L11</f>
        <v>2700000</v>
      </c>
      <c r="L11" s="55">
        <v>300000</v>
      </c>
      <c r="M11" s="58">
        <v>30000</v>
      </c>
      <c r="N11" s="529"/>
      <c r="O11" s="474"/>
      <c r="P11" s="56"/>
      <c r="Q11" s="57">
        <f t="shared" si="3"/>
        <v>2700000</v>
      </c>
      <c r="R11" s="55">
        <f t="shared" si="0"/>
        <v>300000</v>
      </c>
      <c r="S11" s="58">
        <f t="shared" si="0"/>
        <v>30000</v>
      </c>
    </row>
    <row r="12" spans="1:19" ht="16.5" customHeight="1" x14ac:dyDescent="0.2">
      <c r="A12" s="54">
        <v>2027</v>
      </c>
      <c r="B12" s="57">
        <v>0</v>
      </c>
      <c r="C12" s="55">
        <v>0</v>
      </c>
      <c r="D12" s="58">
        <v>0</v>
      </c>
      <c r="E12" s="57">
        <v>0</v>
      </c>
      <c r="F12" s="55">
        <v>0</v>
      </c>
      <c r="G12" s="58">
        <v>0</v>
      </c>
      <c r="H12" s="57">
        <v>0</v>
      </c>
      <c r="I12" s="55">
        <v>0</v>
      </c>
      <c r="J12" s="58">
        <v>0</v>
      </c>
      <c r="K12" s="57">
        <f t="shared" ref="K12:K20" si="4">K11-L12</f>
        <v>2400000</v>
      </c>
      <c r="L12" s="55">
        <v>300000</v>
      </c>
      <c r="M12" s="58">
        <v>27000</v>
      </c>
      <c r="N12" s="529"/>
      <c r="O12" s="474"/>
      <c r="P12" s="56"/>
      <c r="Q12" s="57">
        <f t="shared" si="3"/>
        <v>2400000</v>
      </c>
      <c r="R12" s="55">
        <f t="shared" si="0"/>
        <v>300000</v>
      </c>
      <c r="S12" s="58">
        <f t="shared" si="0"/>
        <v>27000</v>
      </c>
    </row>
    <row r="13" spans="1:19" ht="16.5" customHeight="1" x14ac:dyDescent="0.2">
      <c r="A13" s="54">
        <v>2028</v>
      </c>
      <c r="B13" s="57">
        <v>0</v>
      </c>
      <c r="C13" s="55">
        <v>0</v>
      </c>
      <c r="D13" s="58">
        <v>0</v>
      </c>
      <c r="E13" s="57">
        <v>0</v>
      </c>
      <c r="F13" s="55">
        <v>0</v>
      </c>
      <c r="G13" s="58">
        <v>0</v>
      </c>
      <c r="H13" s="57">
        <v>0</v>
      </c>
      <c r="I13" s="55">
        <v>0</v>
      </c>
      <c r="J13" s="58">
        <v>0</v>
      </c>
      <c r="K13" s="57">
        <f t="shared" si="4"/>
        <v>2100000</v>
      </c>
      <c r="L13" s="55">
        <v>300000</v>
      </c>
      <c r="M13" s="58">
        <v>24000</v>
      </c>
      <c r="N13" s="473"/>
      <c r="O13" s="55"/>
      <c r="P13" s="56"/>
      <c r="Q13" s="57">
        <f t="shared" si="3"/>
        <v>2100000</v>
      </c>
      <c r="R13" s="55">
        <f t="shared" si="0"/>
        <v>300000</v>
      </c>
      <c r="S13" s="58">
        <f t="shared" si="0"/>
        <v>24000</v>
      </c>
    </row>
    <row r="14" spans="1:19" ht="16.5" customHeight="1" x14ac:dyDescent="0.2">
      <c r="A14" s="54">
        <v>2029</v>
      </c>
      <c r="B14" s="57">
        <v>0</v>
      </c>
      <c r="C14" s="55">
        <v>0</v>
      </c>
      <c r="D14" s="58">
        <v>0</v>
      </c>
      <c r="E14" s="57">
        <v>0</v>
      </c>
      <c r="F14" s="55">
        <v>0</v>
      </c>
      <c r="G14" s="58">
        <v>0</v>
      </c>
      <c r="H14" s="57">
        <v>0</v>
      </c>
      <c r="I14" s="55">
        <v>0</v>
      </c>
      <c r="J14" s="58">
        <v>0</v>
      </c>
      <c r="K14" s="57">
        <f t="shared" si="4"/>
        <v>1800000</v>
      </c>
      <c r="L14" s="55">
        <v>300000</v>
      </c>
      <c r="M14" s="58">
        <v>21000</v>
      </c>
      <c r="N14" s="473"/>
      <c r="O14" s="55"/>
      <c r="P14" s="56"/>
      <c r="Q14" s="57">
        <f t="shared" si="3"/>
        <v>1800000</v>
      </c>
      <c r="R14" s="55">
        <f t="shared" si="0"/>
        <v>300000</v>
      </c>
      <c r="S14" s="58">
        <f t="shared" si="0"/>
        <v>21000</v>
      </c>
    </row>
    <row r="15" spans="1:19" ht="16.5" customHeight="1" x14ac:dyDescent="0.2">
      <c r="A15" s="54">
        <v>2030</v>
      </c>
      <c r="B15" s="57">
        <v>0</v>
      </c>
      <c r="C15" s="55">
        <v>0</v>
      </c>
      <c r="D15" s="58">
        <v>0</v>
      </c>
      <c r="E15" s="57">
        <v>0</v>
      </c>
      <c r="F15" s="55">
        <v>0</v>
      </c>
      <c r="G15" s="58">
        <v>0</v>
      </c>
      <c r="H15" s="57">
        <v>0</v>
      </c>
      <c r="I15" s="55">
        <v>0</v>
      </c>
      <c r="J15" s="58">
        <v>0</v>
      </c>
      <c r="K15" s="57">
        <f t="shared" si="4"/>
        <v>1500000</v>
      </c>
      <c r="L15" s="55">
        <v>300000</v>
      </c>
      <c r="M15" s="58">
        <v>18000</v>
      </c>
      <c r="N15" s="473"/>
      <c r="O15" s="55"/>
      <c r="P15" s="56"/>
      <c r="Q15" s="57">
        <f t="shared" si="3"/>
        <v>1500000</v>
      </c>
      <c r="R15" s="55">
        <f t="shared" si="0"/>
        <v>300000</v>
      </c>
      <c r="S15" s="58">
        <f t="shared" si="0"/>
        <v>18000</v>
      </c>
    </row>
    <row r="16" spans="1:19" ht="16.5" customHeight="1" x14ac:dyDescent="0.2">
      <c r="A16" s="54">
        <v>2031</v>
      </c>
      <c r="B16" s="57">
        <v>0</v>
      </c>
      <c r="C16" s="55">
        <v>0</v>
      </c>
      <c r="D16" s="58">
        <v>0</v>
      </c>
      <c r="E16" s="57">
        <v>0</v>
      </c>
      <c r="F16" s="55">
        <v>0</v>
      </c>
      <c r="G16" s="58">
        <v>0</v>
      </c>
      <c r="H16" s="57">
        <v>0</v>
      </c>
      <c r="I16" s="55">
        <v>0</v>
      </c>
      <c r="J16" s="58">
        <v>0</v>
      </c>
      <c r="K16" s="57">
        <f t="shared" si="4"/>
        <v>1200000</v>
      </c>
      <c r="L16" s="55">
        <v>300000</v>
      </c>
      <c r="M16" s="58">
        <v>15000</v>
      </c>
      <c r="N16" s="473"/>
      <c r="O16" s="55"/>
      <c r="P16" s="56"/>
      <c r="Q16" s="57">
        <f t="shared" si="3"/>
        <v>1200000</v>
      </c>
      <c r="R16" s="55">
        <f t="shared" si="0"/>
        <v>300000</v>
      </c>
      <c r="S16" s="58">
        <f t="shared" si="0"/>
        <v>15000</v>
      </c>
    </row>
    <row r="17" spans="1:19" ht="16.5" customHeight="1" x14ac:dyDescent="0.2">
      <c r="A17" s="54">
        <v>2032</v>
      </c>
      <c r="B17" s="57">
        <v>0</v>
      </c>
      <c r="C17" s="55">
        <v>0</v>
      </c>
      <c r="D17" s="58">
        <v>0</v>
      </c>
      <c r="E17" s="57">
        <v>0</v>
      </c>
      <c r="F17" s="55">
        <v>0</v>
      </c>
      <c r="G17" s="58">
        <v>0</v>
      </c>
      <c r="H17" s="57">
        <v>0</v>
      </c>
      <c r="I17" s="55">
        <v>0</v>
      </c>
      <c r="J17" s="58">
        <v>0</v>
      </c>
      <c r="K17" s="57">
        <f t="shared" si="4"/>
        <v>900000</v>
      </c>
      <c r="L17" s="55">
        <v>300000</v>
      </c>
      <c r="M17" s="58">
        <v>12000</v>
      </c>
      <c r="N17" s="473"/>
      <c r="O17" s="55"/>
      <c r="P17" s="56"/>
      <c r="Q17" s="57">
        <f t="shared" si="3"/>
        <v>900000</v>
      </c>
      <c r="R17" s="55">
        <f t="shared" si="0"/>
        <v>300000</v>
      </c>
      <c r="S17" s="58">
        <f t="shared" si="0"/>
        <v>12000</v>
      </c>
    </row>
    <row r="18" spans="1:19" ht="16.5" customHeight="1" x14ac:dyDescent="0.2">
      <c r="A18" s="54">
        <v>2033</v>
      </c>
      <c r="B18" s="57">
        <v>0</v>
      </c>
      <c r="C18" s="55">
        <v>0</v>
      </c>
      <c r="D18" s="58">
        <v>0</v>
      </c>
      <c r="E18" s="57">
        <v>0</v>
      </c>
      <c r="F18" s="55">
        <v>0</v>
      </c>
      <c r="G18" s="58">
        <v>0</v>
      </c>
      <c r="H18" s="57">
        <v>0</v>
      </c>
      <c r="I18" s="55">
        <v>0</v>
      </c>
      <c r="J18" s="58">
        <v>0</v>
      </c>
      <c r="K18" s="57">
        <f t="shared" si="4"/>
        <v>600000</v>
      </c>
      <c r="L18" s="55">
        <v>300000</v>
      </c>
      <c r="M18" s="58">
        <v>9000</v>
      </c>
      <c r="N18" s="473"/>
      <c r="O18" s="55"/>
      <c r="P18" s="56"/>
      <c r="Q18" s="57">
        <f t="shared" si="3"/>
        <v>600000</v>
      </c>
      <c r="R18" s="55">
        <f t="shared" si="0"/>
        <v>300000</v>
      </c>
      <c r="S18" s="58">
        <f t="shared" si="0"/>
        <v>9000</v>
      </c>
    </row>
    <row r="19" spans="1:19" ht="16.5" customHeight="1" x14ac:dyDescent="0.2">
      <c r="A19" s="54">
        <v>2034</v>
      </c>
      <c r="B19" s="57">
        <v>0</v>
      </c>
      <c r="C19" s="55">
        <v>0</v>
      </c>
      <c r="D19" s="58">
        <v>0</v>
      </c>
      <c r="E19" s="57">
        <v>0</v>
      </c>
      <c r="F19" s="55">
        <v>0</v>
      </c>
      <c r="G19" s="58">
        <v>0</v>
      </c>
      <c r="H19" s="57">
        <v>0</v>
      </c>
      <c r="I19" s="55">
        <v>0</v>
      </c>
      <c r="J19" s="58">
        <v>0</v>
      </c>
      <c r="K19" s="57">
        <f t="shared" si="4"/>
        <v>300000</v>
      </c>
      <c r="L19" s="55">
        <v>300000</v>
      </c>
      <c r="M19" s="58">
        <v>6000</v>
      </c>
      <c r="N19" s="473"/>
      <c r="O19" s="55"/>
      <c r="P19" s="56"/>
      <c r="Q19" s="57">
        <f t="shared" si="3"/>
        <v>300000</v>
      </c>
      <c r="R19" s="55">
        <f t="shared" si="0"/>
        <v>300000</v>
      </c>
      <c r="S19" s="58">
        <f t="shared" si="0"/>
        <v>6000</v>
      </c>
    </row>
    <row r="20" spans="1:19" ht="16.5" customHeight="1" thickBot="1" x14ac:dyDescent="0.25">
      <c r="A20" s="525">
        <v>2035</v>
      </c>
      <c r="B20" s="60">
        <v>0</v>
      </c>
      <c r="C20" s="59">
        <v>0</v>
      </c>
      <c r="D20" s="61">
        <v>0</v>
      </c>
      <c r="E20" s="60">
        <v>0</v>
      </c>
      <c r="F20" s="59">
        <v>0</v>
      </c>
      <c r="G20" s="61">
        <v>0</v>
      </c>
      <c r="H20" s="60">
        <v>0</v>
      </c>
      <c r="I20" s="59">
        <v>0</v>
      </c>
      <c r="J20" s="61">
        <v>0</v>
      </c>
      <c r="K20" s="60">
        <f t="shared" si="4"/>
        <v>0</v>
      </c>
      <c r="L20" s="59">
        <v>300000</v>
      </c>
      <c r="M20" s="61">
        <v>3000</v>
      </c>
      <c r="N20" s="528"/>
      <c r="O20" s="59"/>
      <c r="P20" s="526"/>
      <c r="Q20" s="60">
        <f t="shared" si="3"/>
        <v>0</v>
      </c>
      <c r="R20" s="59">
        <f t="shared" si="0"/>
        <v>300000</v>
      </c>
      <c r="S20" s="61">
        <f t="shared" si="0"/>
        <v>3000</v>
      </c>
    </row>
  </sheetData>
  <mergeCells count="7">
    <mergeCell ref="A2:S2"/>
    <mergeCell ref="B4:D4"/>
    <mergeCell ref="E4:G4"/>
    <mergeCell ref="H4:J4"/>
    <mergeCell ref="K4:M4"/>
    <mergeCell ref="N4:P4"/>
    <mergeCell ref="Q4:S4"/>
  </mergeCells>
  <printOptions horizontalCentered="1"/>
  <pageMargins left="0.31496062992125984" right="0.31496062992125984" top="0.59055118110236227" bottom="0.39370078740157483" header="0.31496062992125984" footer="0.11811023622047245"/>
  <pageSetup paperSize="9" scale="59" firstPageNumber="37" orientation="landscape" useFirstPageNumber="1" r:id="rId1"/>
  <headerFooter alignWithMargins="0">
    <oddHeader>&amp;L&amp;"Tahoma,Kurzíva"Střednědobý výhled rozpočtu kraje na léta 2022 - 2025&amp;R&amp;"Tahoma,Kurzíva"Přehled splácení jistiny a úroků z úvěru čerpaných Moravskoslezským krajem</oddHeader>
    <oddFooter>&amp;C&amp;"Tahoma,Obyčejné"&amp;P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A6FB03299F61C040A97358ABA2F264EA" ma:contentTypeVersion="2" ma:contentTypeDescription="Vytvoří nový dokument" ma:contentTypeScope="" ma:versionID="a55099a46df2cfa0911d0093d788d4be">
  <xsd:schema xmlns:xsd="http://www.w3.org/2001/XMLSchema" xmlns:xs="http://www.w3.org/2001/XMLSchema" xmlns:p="http://schemas.microsoft.com/office/2006/metadata/properties" xmlns:ns2="e3b2b205-de92-4ce4-a1ef-b5d6008670aa" targetNamespace="http://schemas.microsoft.com/office/2006/metadata/properties" ma:root="true" ma:fieldsID="e41ce44471669bf9e47e94fa5e503025" ns2:_="">
    <xsd:import namespace="e3b2b205-de92-4ce4-a1ef-b5d6008670aa"/>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b2b205-de92-4ce4-a1ef-b5d6008670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012DBBC-52A0-4DBC-9B23-9C0C25513080}">
  <ds:schemaRefs>
    <ds:schemaRef ds:uri="http://schemas.microsoft.com/sharepoint/v3/contenttype/forms"/>
  </ds:schemaRefs>
</ds:datastoreItem>
</file>

<file path=customXml/itemProps2.xml><?xml version="1.0" encoding="utf-8"?>
<ds:datastoreItem xmlns:ds="http://schemas.openxmlformats.org/officeDocument/2006/customXml" ds:itemID="{DF4AFC0B-2B7B-46B1-B521-BBBDF5B722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b2b205-de92-4ce4-a1ef-b5d6008670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BAD1738-15FF-4B5D-B6B2-812D364CF33D}">
  <ds:schemaRefs>
    <ds:schemaRef ds:uri="http://purl.org/dc/elements/1.1/"/>
    <ds:schemaRef ds:uri="e3b2b205-de92-4ce4-a1ef-b5d6008670aa"/>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13</vt:i4>
      </vt:variant>
    </vt:vector>
  </HeadingPairs>
  <TitlesOfParts>
    <vt:vector size="23" baseType="lpstr">
      <vt:lpstr>seznam</vt:lpstr>
      <vt:lpstr>Tab. 1 </vt:lpstr>
      <vt:lpstr>Tab. 1 VÝDAJE</vt:lpstr>
      <vt:lpstr>Tab. 2 </vt:lpstr>
      <vt:lpstr>Tab. 3</vt:lpstr>
      <vt:lpstr>Tab. 4</vt:lpstr>
      <vt:lpstr>Tab. 5</vt:lpstr>
      <vt:lpstr>Tab. 6</vt:lpstr>
      <vt:lpstr>Tab. 7</vt:lpstr>
      <vt:lpstr>Tab. 8</vt:lpstr>
      <vt:lpstr>'Tab. 1 '!Názvy_tisku</vt:lpstr>
      <vt:lpstr>'Tab. 1 VÝDAJE'!Názvy_tisku</vt:lpstr>
      <vt:lpstr>'Tab. 2 '!Názvy_tisku</vt:lpstr>
      <vt:lpstr>'Tab. 3'!Názvy_tisku</vt:lpstr>
      <vt:lpstr>'Tab. 4'!Názvy_tisku</vt:lpstr>
      <vt:lpstr>'Tab. 5'!Názvy_tisku</vt:lpstr>
      <vt:lpstr>'Tab. 6'!Názvy_tisku</vt:lpstr>
      <vt:lpstr>'Tab. 1 '!Oblast_tisku</vt:lpstr>
      <vt:lpstr>'Tab. 3'!Oblast_tisku</vt:lpstr>
      <vt:lpstr>'Tab. 4'!Oblast_tisku</vt:lpstr>
      <vt:lpstr>'Tab. 5'!Oblast_tisku</vt:lpstr>
      <vt:lpstr>'Tab. 6'!Oblast_tisku</vt:lpstr>
      <vt:lpstr>'Tab. 8'!Oblast_tisku</vt:lpstr>
    </vt:vector>
  </TitlesOfParts>
  <Company>KUMSK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Metelka Tomáš</dc:creator>
  <cp:lastModifiedBy>Metelka Tomáš</cp:lastModifiedBy>
  <cp:lastPrinted>2021-06-01T07:04:29Z</cp:lastPrinted>
  <dcterms:created xsi:type="dcterms:W3CDTF">2015-11-13T16:09:39Z</dcterms:created>
  <dcterms:modified xsi:type="dcterms:W3CDTF">2021-06-01T07:29:16Z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0x010100A6FB03299F61C040A97358ABA2F264EA</vt:lpwstr>
  </property>
</Properties>
</file>